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5480" windowHeight="10875" activeTab="2"/>
  </bookViews>
  <sheets>
    <sheet name="Pixel Sizes" sheetId="1" r:id="rId1"/>
    <sheet name="File Size Chart" sheetId="2" r:id="rId2"/>
    <sheet name="File Size Calculator" sheetId="3" r:id="rId3"/>
    <sheet name="Print Size Calculator" sheetId="4" r:id="rId4"/>
    <sheet name="Storage Estimator" sheetId="5" r:id="rId5"/>
    <sheet name="Formulae" sheetId="6" r:id="rId6"/>
  </sheets>
  <definedNames/>
  <calcPr fullCalcOnLoad="1"/>
</workbook>
</file>

<file path=xl/comments3.xml><?xml version="1.0" encoding="utf-8"?>
<comments xmlns="http://schemas.openxmlformats.org/spreadsheetml/2006/main">
  <authors>
    <author>Edmund Bremner</author>
  </authors>
  <commentList>
    <comment ref="D5" authorId="0">
      <text>
        <r>
          <rPr>
            <b/>
            <sz val="8"/>
            <color indexed="12"/>
            <rFont val="Tahoma"/>
            <family val="2"/>
          </rPr>
          <t xml:space="preserve">Enter the width of the image you want to create
</t>
        </r>
      </text>
    </comment>
    <comment ref="D6" authorId="0">
      <text>
        <r>
          <rPr>
            <b/>
            <sz val="8"/>
            <color indexed="12"/>
            <rFont val="Tahoma"/>
            <family val="2"/>
          </rPr>
          <t>Enter the height of the image you want to create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2"/>
            <rFont val="Tahoma"/>
            <family val="2"/>
          </rPr>
          <t>Enter the resolution of the output device you are using in LPI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12"/>
            <rFont val="Tahoma"/>
            <family val="2"/>
          </rPr>
          <t>Enter a quality factor between 1 - 2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12"/>
            <rFont val="Tahoma"/>
            <family val="2"/>
          </rPr>
          <t xml:space="preserve">Enter the colour bit depth:
</t>
        </r>
        <r>
          <rPr>
            <b/>
            <sz val="8"/>
            <color indexed="10"/>
            <rFont val="Tahoma"/>
            <family val="2"/>
          </rPr>
          <t>Bitmap = 1
Greyscale = 8
RGB colour = 24
CMYK colour = 32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color indexed="12"/>
            <rFont val="Tahoma"/>
            <family val="2"/>
          </rPr>
          <t xml:space="preserve">This will be the full uncompressed file size in Kb.
</t>
        </r>
        <r>
          <rPr>
            <b/>
            <sz val="8"/>
            <color indexed="10"/>
            <rFont val="Tahoma"/>
            <family val="2"/>
          </rPr>
          <t>Remember a JPEG could be only 10% of this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color indexed="12"/>
            <rFont val="Tahoma"/>
            <family val="2"/>
          </rPr>
          <t>Enter the width of your image in Pixels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color indexed="12"/>
            <rFont val="Tahoma"/>
            <family val="2"/>
          </rPr>
          <t>Enter the height of your image in Pixels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color indexed="12"/>
            <rFont val="Tahoma"/>
            <family val="2"/>
          </rPr>
          <t>Enter the colour bit depth: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Bitmap = 1
Greyscale = 8
RGB colour = 24
CMYK colour = 32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color indexed="12"/>
            <rFont val="Tahoma"/>
            <family val="2"/>
          </rPr>
          <t xml:space="preserve">This will be the full uncompressed file size in Kb.
</t>
        </r>
        <r>
          <rPr>
            <b/>
            <sz val="8"/>
            <color indexed="10"/>
            <rFont val="Tahoma"/>
            <family val="2"/>
          </rPr>
          <t>Remember a JPEG could be only 10% of this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color indexed="12"/>
            <rFont val="Tahoma"/>
            <family val="2"/>
          </rPr>
          <t>Enter the no of pixels that you need to make up the longest edge of your image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color indexed="12"/>
            <rFont val="Tahoma"/>
            <family val="2"/>
          </rPr>
          <t>Enter the size of the same edge from your original image in inches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color indexed="12"/>
            <rFont val="Tahoma"/>
            <family val="2"/>
          </rPr>
          <t>This will now give you the scanning resolution in Pixels per inch (PPI)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Edmund Bremner</author>
  </authors>
  <commentList>
    <comment ref="D7" authorId="0">
      <text>
        <r>
          <rPr>
            <b/>
            <sz val="8"/>
            <color indexed="12"/>
            <rFont val="Tahoma"/>
            <family val="2"/>
          </rPr>
          <t>Enter the width of your image in Pixels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2"/>
            <rFont val="Tahoma"/>
            <family val="2"/>
          </rPr>
          <t>Enter the height of your image in Pixels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12"/>
            <rFont val="Tahoma"/>
            <family val="2"/>
          </rPr>
          <t>Enter a Quality Factor between 1 - 2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12"/>
            <rFont val="Tahoma"/>
            <family val="2"/>
          </rPr>
          <t>Enter the resolution of the output device you are using in LPI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Edmund Bremner</author>
  </authors>
  <commentList>
    <comment ref="E11" authorId="0">
      <text>
        <r>
          <rPr>
            <b/>
            <sz val="8"/>
            <color indexed="12"/>
            <rFont val="Tahoma"/>
            <family val="2"/>
          </rPr>
          <t>Enter the width in Pixels of your image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color indexed="12"/>
            <rFont val="Tahoma"/>
            <family val="2"/>
          </rPr>
          <t>PNG-24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Lossless compressed
full 24Bit colour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color indexed="12"/>
            <rFont val="Tahoma"/>
            <family val="2"/>
          </rPr>
          <t>Enter the height of your image in Pixels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 xml:space="preserve">Enter the colour bit depth:
Bitmap = 1
Greyscale = 8
RGB colour = 24
CMYK colour = 32
</t>
        </r>
        <r>
          <rPr>
            <b/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8"/>
            <color indexed="12"/>
            <rFont val="Tahoma"/>
            <family val="2"/>
          </rPr>
          <t>PNG-8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8-bit - 256 indexed colours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color indexed="12"/>
            <rFont val="Tahoma"/>
            <family val="2"/>
          </rPr>
          <t>JPEG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Best Quality = 35% compression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Best Size = 2% compression
Visually acceptable = 10% compression</t>
        </r>
      </text>
    </comment>
    <comment ref="E20" authorId="0">
      <text>
        <r>
          <rPr>
            <b/>
            <sz val="8"/>
            <color indexed="12"/>
            <rFont val="Tahoma"/>
            <family val="2"/>
          </rPr>
          <t>This is the total size of required storage for collection as TIFF</t>
        </r>
      </text>
    </comment>
    <comment ref="E5" authorId="0">
      <text>
        <r>
          <rPr>
            <b/>
            <sz val="8"/>
            <color indexed="12"/>
            <rFont val="Tahoma"/>
            <family val="2"/>
          </rPr>
          <t>Enter the number of images in the collection</t>
        </r>
      </text>
    </comment>
    <comment ref="B23" authorId="0">
      <text>
        <r>
          <rPr>
            <b/>
            <sz val="8"/>
            <color indexed="12"/>
            <rFont val="Tahoma"/>
            <family val="2"/>
          </rPr>
          <t>PNG-24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Lossless compressed
full 24Bit colour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color indexed="12"/>
            <rFont val="Tahoma"/>
            <family val="2"/>
          </rPr>
          <t>PNG-8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8-bit - 256 indexed colours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color indexed="12"/>
            <rFont val="Tahoma"/>
            <family val="2"/>
          </rPr>
          <t>JPEG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Best Quality = 35% compression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Best Size = 2% compression
Visually acceptable = 10% compression</t>
        </r>
      </text>
    </comment>
    <comment ref="H6" authorId="0">
      <text>
        <r>
          <rPr>
            <b/>
            <sz val="8"/>
            <color indexed="12"/>
            <rFont val="Tahoma"/>
            <family val="2"/>
          </rPr>
          <t>PNG-24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Lossless compressed
full 24Bit colour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color indexed="12"/>
            <rFont val="Tahoma"/>
            <family val="2"/>
          </rPr>
          <t>PNG-8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8-bit - 256 indexed colours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color indexed="12"/>
            <rFont val="Tahoma"/>
            <family val="2"/>
          </rPr>
          <t>JPEG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Best Quality = 35% compression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Best Size = 2% compression
Visually acceptable = 10% compression</t>
        </r>
      </text>
    </comment>
    <comment ref="H4" authorId="0">
      <text>
        <r>
          <rPr>
            <b/>
            <sz val="8"/>
            <color indexed="12"/>
            <rFont val="Tahoma"/>
            <family val="2"/>
          </rPr>
          <t>TIFF file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No compression</t>
        </r>
      </text>
    </comment>
  </commentList>
</comments>
</file>

<file path=xl/sharedStrings.xml><?xml version="1.0" encoding="utf-8"?>
<sst xmlns="http://schemas.openxmlformats.org/spreadsheetml/2006/main" count="370" uniqueCount="163">
  <si>
    <t>A6</t>
  </si>
  <si>
    <t>A5</t>
  </si>
  <si>
    <t>A4</t>
  </si>
  <si>
    <t>A3</t>
  </si>
  <si>
    <t>A2</t>
  </si>
  <si>
    <t>1 bit</t>
  </si>
  <si>
    <t>8 bit</t>
  </si>
  <si>
    <t>24 bit</t>
  </si>
  <si>
    <t>LPI</t>
  </si>
  <si>
    <t>TASI Recommended File Size Chart</t>
  </si>
  <si>
    <t>Output Resolution</t>
  </si>
  <si>
    <t>All file sizes are calculated with a Q Factor of 1.5</t>
  </si>
  <si>
    <t>&amp; colour depth</t>
  </si>
  <si>
    <t>Output Print Size</t>
  </si>
  <si>
    <t>Width (inches)</t>
  </si>
  <si>
    <t>Height (inches)</t>
  </si>
  <si>
    <t>Output res (LPI)</t>
  </si>
  <si>
    <t>Quality Factor</t>
  </si>
  <si>
    <t>Colour Bit Depth</t>
  </si>
  <si>
    <t>File Size</t>
  </si>
  <si>
    <t>Example:</t>
  </si>
  <si>
    <t>Enter:</t>
  </si>
  <si>
    <t>or if you know the pixel dimensions of the file</t>
  </si>
  <si>
    <t>Width (pixels)</t>
  </si>
  <si>
    <t>Height (pixels)</t>
  </si>
  <si>
    <t>Kb</t>
  </si>
  <si>
    <t>Pixels</t>
  </si>
  <si>
    <t>TASI Recommended Pixel Dimension Chart</t>
  </si>
  <si>
    <t>x</t>
  </si>
  <si>
    <t>All image-file dimensions are given in pixels.</t>
  </si>
  <si>
    <t>Width (Pixels)</t>
  </si>
  <si>
    <t>Height (Pixels)</t>
  </si>
  <si>
    <t>Your Image is:</t>
  </si>
  <si>
    <t>The Size is:</t>
  </si>
  <si>
    <t>TASI Recommended Image - File Size calculator</t>
  </si>
  <si>
    <t>You want your image to be:</t>
  </si>
  <si>
    <t>Required no of pixels in edge</t>
  </si>
  <si>
    <t>Scanning Resolution:</t>
  </si>
  <si>
    <t>Length of same edge in inches</t>
  </si>
  <si>
    <t>PPI</t>
  </si>
  <si>
    <t>Pixels per inch</t>
  </si>
  <si>
    <t>To calculate the scanning resolution:</t>
  </si>
  <si>
    <t>You need:</t>
  </si>
  <si>
    <t>All file sizes are given in Kb and will be for an uncompressed file</t>
  </si>
  <si>
    <t>TASI Recommended Print Size Calculator:</t>
  </si>
  <si>
    <t>You know how big your image is, but how big can you print it?</t>
  </si>
  <si>
    <t>Output Res (LPI)</t>
  </si>
  <si>
    <t>Max Width Print</t>
  </si>
  <si>
    <t>Max Height Print</t>
  </si>
  <si>
    <t>Instructions</t>
  </si>
  <si>
    <t>Enter a quality factor appropriate for the printer.</t>
  </si>
  <si>
    <t>Enter the Output Resolution of the printer measure in LPI.</t>
  </si>
  <si>
    <t>Enter the pixel dimensions into the Width and Height boxes in inches.</t>
  </si>
  <si>
    <t>Read out the maximum size in inches.</t>
  </si>
  <si>
    <t>but want to know how large the file will be:</t>
  </si>
  <si>
    <t>Typical Resolution values for common output devices:</t>
  </si>
  <si>
    <t>Monitor</t>
  </si>
  <si>
    <t>Inkjet</t>
  </si>
  <si>
    <t>Newsprint</t>
  </si>
  <si>
    <t>Books</t>
  </si>
  <si>
    <t>Magazines</t>
  </si>
  <si>
    <t>150 - 175 LPI</t>
  </si>
  <si>
    <t>200 - 250 LPI</t>
  </si>
  <si>
    <t>Art Magazines &amp; High Quality books</t>
  </si>
  <si>
    <t>72 - 96 LPI</t>
  </si>
  <si>
    <t>75 - 125 LPI</t>
  </si>
  <si>
    <t>80 - 100 LPI</t>
  </si>
  <si>
    <t>120 - 140 LPI</t>
  </si>
  <si>
    <t xml:space="preserve">The actual recommended Print Resolution should </t>
  </si>
  <si>
    <t xml:space="preserve">always be checked with the operator of the output </t>
  </si>
  <si>
    <t>device.</t>
  </si>
  <si>
    <t>Art Magazines &amp; books</t>
  </si>
  <si>
    <t>High Quality Print (Screen ruling over 133 lpi)</t>
  </si>
  <si>
    <t>1.3 – 1.5</t>
  </si>
  <si>
    <t>Lower Quality Print (Screen ruling below 133 lpi)</t>
  </si>
  <si>
    <t>1.5 – 2.0</t>
  </si>
  <si>
    <t>Inkjet and Lasers (using FM printing)</t>
  </si>
  <si>
    <t>1.0 – 1.3</t>
  </si>
  <si>
    <t>Monitor – No quality factor is needed</t>
  </si>
  <si>
    <t>Recommended Quality Factors for standard print use</t>
  </si>
  <si>
    <t>Copyright TASI © 2001</t>
  </si>
  <si>
    <t>and enter that with size of the image being scanned:</t>
  </si>
  <si>
    <t xml:space="preserve">Take the longest edge dimension in pixels </t>
  </si>
  <si>
    <t>Mb</t>
  </si>
  <si>
    <t>No of Images in collection</t>
  </si>
  <si>
    <t>to</t>
  </si>
  <si>
    <t>Total storage (TIFF) uncompressed</t>
  </si>
  <si>
    <t>from</t>
  </si>
  <si>
    <t>TASI Storage Requirements Estimator</t>
  </si>
  <si>
    <t>JPEG</t>
  </si>
  <si>
    <t>Best Quality</t>
  </si>
  <si>
    <t>Best Compression</t>
  </si>
  <si>
    <t>Visually Acceptable</t>
  </si>
  <si>
    <t>PNG-24</t>
  </si>
  <si>
    <t>PNG-8</t>
  </si>
  <si>
    <t>Uncompressed File Size</t>
  </si>
  <si>
    <t xml:space="preserve">No of CD-R </t>
  </si>
  <si>
    <t>Disks (74min)</t>
  </si>
  <si>
    <t>Images</t>
  </si>
  <si>
    <t>Gb</t>
  </si>
  <si>
    <t>per CD-R Disk (74min)</t>
  </si>
  <si>
    <t>The Formulae behind the scenes:</t>
  </si>
  <si>
    <t>Width in inches</t>
  </si>
  <si>
    <t>w-inch</t>
  </si>
  <si>
    <t>Height in inches</t>
  </si>
  <si>
    <t>h-inch</t>
  </si>
  <si>
    <t>Width in pixels</t>
  </si>
  <si>
    <t>w-pix</t>
  </si>
  <si>
    <t>h-pix</t>
  </si>
  <si>
    <t>inch</t>
  </si>
  <si>
    <t>pixel</t>
  </si>
  <si>
    <t>Lines per inch</t>
  </si>
  <si>
    <t>QF</t>
  </si>
  <si>
    <t>BD</t>
  </si>
  <si>
    <t>Height in pixels</t>
  </si>
  <si>
    <t>Files Size Calculator</t>
  </si>
  <si>
    <t>Width in Pixels</t>
  </si>
  <si>
    <t>=</t>
  </si>
  <si>
    <t>(w-inch x LPI) x QF</t>
  </si>
  <si>
    <t>Height in Pixels</t>
  </si>
  <si>
    <t>(h-inch x LPI) x QF</t>
  </si>
  <si>
    <t>Size of File in Kb</t>
  </si>
  <si>
    <t>Size of File in Mb</t>
  </si>
  <si>
    <t>size-Kb/1024</t>
  </si>
  <si>
    <t>size-Kb</t>
  </si>
  <si>
    <t>size-Mb</t>
  </si>
  <si>
    <t>Scanning Resolution Calculator</t>
  </si>
  <si>
    <t>/</t>
  </si>
  <si>
    <t>Required LPI</t>
  </si>
  <si>
    <t>Print Size Calculator</t>
  </si>
  <si>
    <t>Width in Inches</t>
  </si>
  <si>
    <t>w-pix/LPI</t>
  </si>
  <si>
    <t>Height in Inches</t>
  </si>
  <si>
    <t>h-pix/LPI</t>
  </si>
  <si>
    <t>Storage Estimator</t>
  </si>
  <si>
    <t>(((w-pix x h-pix) x Q) x (BD/8))/1024</t>
  </si>
  <si>
    <t>((h-pix x w-pix) x (BD/8)) / 1024</t>
  </si>
  <si>
    <t>For uncompressed images in Mb</t>
  </si>
  <si>
    <t>For uncompressed images in Kb</t>
  </si>
  <si>
    <t>from 50% to 65% of original size</t>
  </si>
  <si>
    <t>from 17% to 22% of original size</t>
  </si>
  <si>
    <t>JPEG Best Quality</t>
  </si>
  <si>
    <t>JPEG Best Compression</t>
  </si>
  <si>
    <t>JPEG Best compromise</t>
  </si>
  <si>
    <t>approx 35% or original size</t>
  </si>
  <si>
    <t>approx 2% of original size</t>
  </si>
  <si>
    <t>approx 10% of original size</t>
  </si>
  <si>
    <t>size-Mb x No of items in collection</t>
  </si>
  <si>
    <t>No of images / 74 min CD-R disk</t>
  </si>
  <si>
    <t>640 / size-Mb</t>
  </si>
  <si>
    <t>This should be round down</t>
  </si>
  <si>
    <t>No of 74 min disks for collection</t>
  </si>
  <si>
    <t>Total storage / No of images per CD-R</t>
  </si>
  <si>
    <t>Total Storage in Mb</t>
  </si>
  <si>
    <t>Total Storage in Gb</t>
  </si>
  <si>
    <t>Total Storage in Mb / 1024</t>
  </si>
  <si>
    <t>TIFF</t>
  </si>
  <si>
    <t>No of Images</t>
  </si>
  <si>
    <t>Enter the number of files in your collection:</t>
  </si>
  <si>
    <t>Enter the Pixel dimensions and Colour Bit Depth:</t>
  </si>
  <si>
    <t>Bit</t>
  </si>
  <si>
    <t>Rough Storage Requirements for whole collection:</t>
  </si>
  <si>
    <t>Rough size of each compressed file: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</si>
</sst>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#,##0.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2" fontId="0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left"/>
    </xf>
    <xf numFmtId="2" fontId="0" fillId="34" borderId="0" xfId="0" applyNumberFormat="1" applyFont="1" applyFill="1" applyAlignment="1">
      <alignment horizontal="left"/>
    </xf>
    <xf numFmtId="2" fontId="3" fillId="34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Alignment="1">
      <alignment horizontal="right"/>
    </xf>
    <xf numFmtId="1" fontId="1" fillId="35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172" fontId="1" fillId="35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3" fontId="0" fillId="33" borderId="0" xfId="0" applyNumberFormat="1" applyFill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35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174" fontId="1" fillId="35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32</xdr:row>
      <xdr:rowOff>0</xdr:rowOff>
    </xdr:from>
    <xdr:to>
      <xdr:col>11</xdr:col>
      <xdr:colOff>581025</xdr:colOff>
      <xdr:row>36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5781675"/>
          <a:ext cx="7743825" cy="733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compressed file sizes should be considered as very rough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'rule of thumb'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figures.  It will always be wise to undertake your own testing to ascertain typical compression rates with your own image files if you need more accurate estimations.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">
      <selection activeCell="E41" sqref="E41"/>
    </sheetView>
  </sheetViews>
  <sheetFormatPr defaultColWidth="9.140625" defaultRowHeight="12.75"/>
  <cols>
    <col min="4" max="4" width="5.8515625" style="0" customWidth="1"/>
    <col min="5" max="5" width="3.28125" style="32" customWidth="1"/>
    <col min="6" max="6" width="7.7109375" style="28" customWidth="1"/>
    <col min="7" max="7" width="8.28125" style="0" customWidth="1"/>
    <col min="8" max="8" width="3.140625" style="0" customWidth="1"/>
    <col min="9" max="9" width="5.57421875" style="0" customWidth="1"/>
    <col min="10" max="10" width="7.00390625" style="0" customWidth="1"/>
    <col min="11" max="11" width="3.00390625" style="32" customWidth="1"/>
    <col min="12" max="13" width="7.28125" style="0" customWidth="1"/>
    <col min="14" max="14" width="3.28125" style="32" customWidth="1"/>
    <col min="15" max="15" width="7.421875" style="0" customWidth="1"/>
    <col min="16" max="16" width="8.140625" style="0" customWidth="1"/>
    <col min="17" max="17" width="3.28125" style="33" customWidth="1"/>
    <col min="18" max="18" width="6.8515625" style="28" customWidth="1"/>
  </cols>
  <sheetData>
    <row r="1" spans="2:16" ht="18">
      <c r="B1" s="5" t="s">
        <v>27</v>
      </c>
      <c r="D1" s="1"/>
      <c r="E1" s="29"/>
      <c r="F1" s="24"/>
      <c r="G1" s="1"/>
      <c r="H1" s="1"/>
      <c r="I1" s="1"/>
      <c r="J1" s="1"/>
      <c r="K1" s="29"/>
      <c r="L1" s="1"/>
      <c r="M1" s="1"/>
      <c r="N1" s="29"/>
      <c r="O1" s="1"/>
      <c r="P1" s="1"/>
    </row>
    <row r="2" spans="4:16" ht="12.75">
      <c r="D2" s="1"/>
      <c r="E2" s="29"/>
      <c r="F2" s="24"/>
      <c r="G2" s="1"/>
      <c r="H2" s="1"/>
      <c r="I2" s="1"/>
      <c r="J2" s="1"/>
      <c r="K2" s="29"/>
      <c r="L2" s="1"/>
      <c r="M2" s="1"/>
      <c r="N2" s="29"/>
      <c r="O2" s="1"/>
      <c r="P2" s="1"/>
    </row>
    <row r="3" spans="4:16" ht="12.75">
      <c r="D3" s="1"/>
      <c r="E3" s="29"/>
      <c r="F3" s="24"/>
      <c r="G3" s="1"/>
      <c r="H3" s="1"/>
      <c r="I3" s="1"/>
      <c r="J3" s="1"/>
      <c r="K3" s="29"/>
      <c r="L3" s="1"/>
      <c r="M3" s="1"/>
      <c r="N3" s="29"/>
      <c r="O3" s="1"/>
      <c r="P3" s="1"/>
    </row>
    <row r="4" spans="2:18" ht="12.75">
      <c r="B4" s="6" t="s">
        <v>10</v>
      </c>
      <c r="C4" s="11"/>
      <c r="D4" s="12"/>
      <c r="E4" s="30"/>
      <c r="F4" s="25"/>
      <c r="G4" s="12"/>
      <c r="H4" s="12"/>
      <c r="I4" s="12"/>
      <c r="J4" s="12"/>
      <c r="K4" s="30"/>
      <c r="L4" s="12"/>
      <c r="M4" s="12"/>
      <c r="N4" s="30"/>
      <c r="O4" s="12"/>
      <c r="P4" s="13" t="s">
        <v>13</v>
      </c>
      <c r="Q4" s="36"/>
      <c r="R4" s="37"/>
    </row>
    <row r="5" spans="2:16" ht="12.75">
      <c r="B5" s="14" t="s">
        <v>12</v>
      </c>
      <c r="C5" s="14"/>
      <c r="D5" s="4">
        <v>4.13</v>
      </c>
      <c r="E5" s="34"/>
      <c r="F5" s="35"/>
      <c r="G5" s="4">
        <v>5.83</v>
      </c>
      <c r="H5" s="4"/>
      <c r="I5" s="4"/>
      <c r="J5" s="4">
        <v>8.27</v>
      </c>
      <c r="K5" s="34"/>
      <c r="L5" s="4"/>
      <c r="M5" s="4">
        <v>11.69</v>
      </c>
      <c r="N5" s="34"/>
      <c r="O5" s="4"/>
      <c r="P5" s="4">
        <v>16.54</v>
      </c>
    </row>
    <row r="6" spans="2:16" ht="12.75">
      <c r="B6" s="7"/>
      <c r="C6" s="7"/>
      <c r="D6" s="4">
        <v>5.83</v>
      </c>
      <c r="E6" s="34"/>
      <c r="F6" s="35"/>
      <c r="G6" s="4">
        <v>8.27</v>
      </c>
      <c r="H6" s="4"/>
      <c r="I6" s="4"/>
      <c r="J6" s="4">
        <v>11.69</v>
      </c>
      <c r="K6" s="34"/>
      <c r="L6" s="4"/>
      <c r="M6" s="4">
        <v>16.54</v>
      </c>
      <c r="N6" s="34"/>
      <c r="O6" s="4"/>
      <c r="P6" s="4">
        <v>23.39</v>
      </c>
    </row>
    <row r="7" spans="2:18" ht="12.75">
      <c r="B7" s="7"/>
      <c r="C7" s="7"/>
      <c r="D7" s="17"/>
      <c r="E7" s="23" t="s">
        <v>0</v>
      </c>
      <c r="F7" s="26"/>
      <c r="G7" s="17"/>
      <c r="H7" s="23" t="s">
        <v>1</v>
      </c>
      <c r="I7" s="23"/>
      <c r="J7" s="17"/>
      <c r="K7" s="23" t="s">
        <v>2</v>
      </c>
      <c r="L7" s="23"/>
      <c r="M7" s="17"/>
      <c r="N7" s="23" t="s">
        <v>3</v>
      </c>
      <c r="O7" s="23"/>
      <c r="P7" s="17"/>
      <c r="Q7" s="23" t="s">
        <v>4</v>
      </c>
      <c r="R7" s="37"/>
    </row>
    <row r="8" spans="2:18" ht="12.75">
      <c r="B8" s="7"/>
      <c r="C8" s="7"/>
      <c r="D8" s="23"/>
      <c r="E8" s="23"/>
      <c r="F8" s="2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7"/>
    </row>
    <row r="9" spans="2:18" ht="12.75">
      <c r="B9" s="8">
        <v>72</v>
      </c>
      <c r="C9" s="8" t="s">
        <v>8</v>
      </c>
      <c r="D9" s="44">
        <f>(D6*B9)*1.5</f>
        <v>629.64</v>
      </c>
      <c r="E9" s="50" t="s">
        <v>28</v>
      </c>
      <c r="F9" s="51">
        <f>(D5*B9)*1.5</f>
        <v>446.04</v>
      </c>
      <c r="G9" s="44">
        <f>(G6*B9)*1.5</f>
        <v>893.1599999999999</v>
      </c>
      <c r="H9" s="50" t="s">
        <v>28</v>
      </c>
      <c r="I9" s="51">
        <f>(G5*B9)*1.5</f>
        <v>629.64</v>
      </c>
      <c r="J9" s="44">
        <f>(J6*B9)*1.5</f>
        <v>1262.52</v>
      </c>
      <c r="K9" s="50" t="s">
        <v>28</v>
      </c>
      <c r="L9" s="51">
        <f>(J5*B9)*1.5</f>
        <v>893.1599999999999</v>
      </c>
      <c r="M9" s="44">
        <f>(M6*B9)*1.5</f>
        <v>1786.3199999999997</v>
      </c>
      <c r="N9" s="50" t="s">
        <v>28</v>
      </c>
      <c r="O9" s="51">
        <f>(M5*B9)*1.5</f>
        <v>1262.52</v>
      </c>
      <c r="P9" s="44">
        <f>(P6*B9)*1.5</f>
        <v>2526.12</v>
      </c>
      <c r="Q9" s="52" t="s">
        <v>28</v>
      </c>
      <c r="R9" s="51">
        <f>(P5*B9)*1.5</f>
        <v>1786.3199999999997</v>
      </c>
    </row>
    <row r="10" spans="2:18" ht="12.75">
      <c r="B10" s="22"/>
      <c r="C10" s="8"/>
      <c r="D10" s="53"/>
      <c r="E10" s="54"/>
      <c r="F10" s="55"/>
      <c r="G10" s="53"/>
      <c r="H10" s="53"/>
      <c r="I10" s="53"/>
      <c r="J10" s="53"/>
      <c r="K10" s="50"/>
      <c r="L10" s="53"/>
      <c r="M10" s="53"/>
      <c r="N10" s="54"/>
      <c r="O10" s="53"/>
      <c r="P10" s="53"/>
      <c r="Q10" s="52"/>
      <c r="R10" s="56"/>
    </row>
    <row r="11" spans="2:18" ht="12.75">
      <c r="B11" s="10">
        <v>150</v>
      </c>
      <c r="C11" s="8" t="s">
        <v>8</v>
      </c>
      <c r="D11" s="44">
        <f>(D6*B11)*1.5</f>
        <v>1311.75</v>
      </c>
      <c r="E11" s="50" t="s">
        <v>28</v>
      </c>
      <c r="F11" s="51">
        <f>(D5*B11)*1.5</f>
        <v>929.25</v>
      </c>
      <c r="G11" s="44">
        <f>(G6*B11)*1.5</f>
        <v>1860.75</v>
      </c>
      <c r="H11" s="50" t="s">
        <v>28</v>
      </c>
      <c r="I11" s="51">
        <f>(G5*B11)*1.5</f>
        <v>1311.75</v>
      </c>
      <c r="J11" s="44">
        <f>(J6*B11)*1.5</f>
        <v>2630.25</v>
      </c>
      <c r="K11" s="50" t="s">
        <v>28</v>
      </c>
      <c r="L11" s="51">
        <f>(J5*B11)*1.5</f>
        <v>1860.75</v>
      </c>
      <c r="M11" s="44">
        <f>(M6*B11)*1.5</f>
        <v>3721.5</v>
      </c>
      <c r="N11" s="57" t="s">
        <v>28</v>
      </c>
      <c r="O11" s="51">
        <f>(M5*B11)*1.5</f>
        <v>2630.25</v>
      </c>
      <c r="P11" s="44">
        <f>(P6*B11)*1.5</f>
        <v>5262.75</v>
      </c>
      <c r="Q11" s="52" t="s">
        <v>28</v>
      </c>
      <c r="R11" s="51">
        <f>(P5*B11)*1.5</f>
        <v>3721.5</v>
      </c>
    </row>
    <row r="12" spans="2:18" ht="12.75">
      <c r="B12" s="10"/>
      <c r="C12" s="8"/>
      <c r="D12" s="58"/>
      <c r="E12" s="59"/>
      <c r="F12" s="60"/>
      <c r="G12" s="58"/>
      <c r="H12" s="58"/>
      <c r="I12" s="58"/>
      <c r="J12" s="58"/>
      <c r="K12" s="50"/>
      <c r="L12" s="58"/>
      <c r="M12" s="58"/>
      <c r="N12" s="59"/>
      <c r="O12" s="58"/>
      <c r="P12" s="58"/>
      <c r="Q12" s="52"/>
      <c r="R12" s="56"/>
    </row>
    <row r="13" spans="2:18" ht="12.75">
      <c r="B13" s="10">
        <v>200</v>
      </c>
      <c r="C13" s="8" t="s">
        <v>8</v>
      </c>
      <c r="D13" s="44">
        <f>(D6*B13)*1.5</f>
        <v>1749</v>
      </c>
      <c r="E13" s="50" t="s">
        <v>28</v>
      </c>
      <c r="F13" s="51">
        <f>(D5*B13)*1.5</f>
        <v>1239</v>
      </c>
      <c r="G13" s="44">
        <f>(G6*B13)*1.5</f>
        <v>2481</v>
      </c>
      <c r="H13" s="50" t="s">
        <v>28</v>
      </c>
      <c r="I13" s="51">
        <f>(G5*B13)*1.5</f>
        <v>1749</v>
      </c>
      <c r="J13" s="44">
        <f>(J6*B13)*1.5</f>
        <v>3507</v>
      </c>
      <c r="K13" s="50" t="s">
        <v>28</v>
      </c>
      <c r="L13" s="51">
        <f>(J5*B13)*1.5</f>
        <v>2481</v>
      </c>
      <c r="M13" s="44">
        <f>(M6*B13)*1.5</f>
        <v>4962</v>
      </c>
      <c r="N13" s="57" t="s">
        <v>28</v>
      </c>
      <c r="O13" s="51">
        <f>(M5*B13)*1.5</f>
        <v>3507</v>
      </c>
      <c r="P13" s="44">
        <f>(P6*B13)*1.5</f>
        <v>7017</v>
      </c>
      <c r="Q13" s="52" t="s">
        <v>28</v>
      </c>
      <c r="R13" s="51">
        <f>(P5*B13)*1.5</f>
        <v>4962</v>
      </c>
    </row>
    <row r="14" spans="2:18" ht="12.75">
      <c r="B14" s="10"/>
      <c r="C14" s="8"/>
      <c r="D14" s="58"/>
      <c r="E14" s="59"/>
      <c r="F14" s="60"/>
      <c r="G14" s="58"/>
      <c r="H14" s="58"/>
      <c r="I14" s="58"/>
      <c r="J14" s="58"/>
      <c r="K14" s="50"/>
      <c r="L14" s="58"/>
      <c r="M14" s="58"/>
      <c r="N14" s="59"/>
      <c r="O14" s="58"/>
      <c r="P14" s="58"/>
      <c r="Q14" s="52"/>
      <c r="R14" s="56"/>
    </row>
    <row r="15" spans="2:18" ht="12.75">
      <c r="B15" s="10">
        <v>250</v>
      </c>
      <c r="C15" s="8" t="s">
        <v>8</v>
      </c>
      <c r="D15" s="44">
        <f>(D6*B15)*1.5</f>
        <v>2186.25</v>
      </c>
      <c r="E15" s="50" t="s">
        <v>28</v>
      </c>
      <c r="F15" s="51">
        <f>(D5*B15)*1.5</f>
        <v>1548.75</v>
      </c>
      <c r="G15" s="44">
        <f>(G6*B15)*1.5</f>
        <v>3101.25</v>
      </c>
      <c r="H15" s="50" t="s">
        <v>28</v>
      </c>
      <c r="I15" s="51">
        <f>(G5*B15)*1.5</f>
        <v>2186.25</v>
      </c>
      <c r="J15" s="44">
        <f>(J6*B15)*1.5</f>
        <v>4383.75</v>
      </c>
      <c r="K15" s="50" t="s">
        <v>28</v>
      </c>
      <c r="L15" s="51">
        <f>(J5*B15)*1.5</f>
        <v>3101.25</v>
      </c>
      <c r="M15" s="44">
        <f>(M6*B15)*1.5</f>
        <v>6202.5</v>
      </c>
      <c r="N15" s="57" t="s">
        <v>28</v>
      </c>
      <c r="O15" s="51">
        <f>(M5*B15)*1.5</f>
        <v>4383.75</v>
      </c>
      <c r="P15" s="44">
        <f>(P6*B15)*1.5</f>
        <v>8771.25</v>
      </c>
      <c r="Q15" s="52" t="s">
        <v>28</v>
      </c>
      <c r="R15" s="51">
        <f>(P5*B15)*1.5</f>
        <v>6202.5</v>
      </c>
    </row>
    <row r="16" spans="2:16" ht="12.75">
      <c r="B16" s="10"/>
      <c r="C16" s="8"/>
      <c r="D16" s="3"/>
      <c r="E16" s="31"/>
      <c r="F16" s="27"/>
      <c r="G16" s="3"/>
      <c r="H16" s="3"/>
      <c r="I16" s="3"/>
      <c r="J16" s="3"/>
      <c r="K16" s="31"/>
      <c r="L16" s="3"/>
      <c r="M16" s="3"/>
      <c r="N16" s="31"/>
      <c r="O16" s="3"/>
      <c r="P16" s="3"/>
    </row>
    <row r="17" spans="2:16" ht="12.75">
      <c r="B17" s="9"/>
      <c r="C17" s="8"/>
      <c r="D17" s="1"/>
      <c r="E17" s="29"/>
      <c r="F17" s="24"/>
      <c r="G17" s="1"/>
      <c r="H17" s="1"/>
      <c r="I17" s="1"/>
      <c r="J17" s="1"/>
      <c r="K17" s="29"/>
      <c r="L17" s="1"/>
      <c r="M17" s="1"/>
      <c r="N17" s="29"/>
      <c r="O17" s="1"/>
      <c r="P17" s="1"/>
    </row>
    <row r="18" spans="4:16" ht="12.75">
      <c r="D18" s="1"/>
      <c r="E18" s="29"/>
      <c r="F18" s="24"/>
      <c r="G18" s="1"/>
      <c r="H18" s="1"/>
      <c r="I18" s="1"/>
      <c r="J18" s="1"/>
      <c r="K18" s="29"/>
      <c r="L18" s="1"/>
      <c r="M18" s="1"/>
      <c r="N18" s="29"/>
      <c r="O18" s="1"/>
      <c r="P18" s="1"/>
    </row>
    <row r="19" spans="2:16" ht="12.75">
      <c r="B19" s="38" t="s">
        <v>29</v>
      </c>
      <c r="D19" s="1"/>
      <c r="E19" s="29"/>
      <c r="F19" s="24"/>
      <c r="G19" s="1"/>
      <c r="H19" s="1"/>
      <c r="I19" s="1"/>
      <c r="J19" s="1"/>
      <c r="K19" s="29"/>
      <c r="L19" s="1"/>
      <c r="M19" s="1"/>
      <c r="N19" s="29"/>
      <c r="O19" s="1"/>
      <c r="P19" s="1"/>
    </row>
    <row r="20" spans="4:16" ht="12.75">
      <c r="D20" s="1"/>
      <c r="E20" s="29"/>
      <c r="F20" s="24"/>
      <c r="G20" s="1"/>
      <c r="H20" s="1"/>
      <c r="I20" s="1"/>
      <c r="J20" s="1"/>
      <c r="K20" s="29"/>
      <c r="L20" s="1"/>
      <c r="M20" s="1"/>
      <c r="N20" s="29"/>
      <c r="O20" s="1"/>
      <c r="P20" s="1"/>
    </row>
    <row r="21" ht="12.75">
      <c r="B21" s="38" t="s">
        <v>11</v>
      </c>
    </row>
    <row r="22" spans="3:7" ht="12.75">
      <c r="C22" s="38"/>
      <c r="D22" s="38"/>
      <c r="E22" s="52"/>
      <c r="F22" s="56"/>
      <c r="G22" s="38"/>
    </row>
    <row r="24" spans="2:10" ht="15">
      <c r="B24" s="74" t="s">
        <v>55</v>
      </c>
      <c r="C24" s="17"/>
      <c r="D24" s="17"/>
      <c r="E24" s="69"/>
      <c r="F24" s="37"/>
      <c r="G24" s="17"/>
      <c r="H24" s="17"/>
      <c r="I24" s="17"/>
      <c r="J24" s="17"/>
    </row>
    <row r="25" spans="2:10" ht="12.75">
      <c r="B25" s="17"/>
      <c r="C25" s="17"/>
      <c r="D25" s="17"/>
      <c r="E25" s="69"/>
      <c r="F25" s="37"/>
      <c r="G25" s="17"/>
      <c r="H25" s="17"/>
      <c r="I25" s="17"/>
      <c r="J25" s="17"/>
    </row>
    <row r="26" spans="2:12" ht="12.75">
      <c r="B26" s="16" t="s">
        <v>56</v>
      </c>
      <c r="C26" s="16"/>
      <c r="D26" s="16"/>
      <c r="E26" s="75"/>
      <c r="F26" s="70"/>
      <c r="G26" s="75" t="s">
        <v>64</v>
      </c>
      <c r="H26" s="16"/>
      <c r="I26" s="17"/>
      <c r="J26" s="17"/>
      <c r="L26" t="s">
        <v>68</v>
      </c>
    </row>
    <row r="27" spans="2:12" ht="12.75">
      <c r="B27" s="16" t="s">
        <v>57</v>
      </c>
      <c r="C27" s="16"/>
      <c r="D27" s="16"/>
      <c r="E27" s="75"/>
      <c r="F27" s="70"/>
      <c r="G27" s="75" t="s">
        <v>65</v>
      </c>
      <c r="H27" s="16"/>
      <c r="I27" s="17"/>
      <c r="J27" s="17"/>
      <c r="L27" t="s">
        <v>69</v>
      </c>
    </row>
    <row r="28" spans="2:12" ht="12.75">
      <c r="B28" s="16" t="s">
        <v>58</v>
      </c>
      <c r="C28" s="16"/>
      <c r="D28" s="16"/>
      <c r="E28" s="75"/>
      <c r="F28" s="70"/>
      <c r="G28" s="75" t="s">
        <v>66</v>
      </c>
      <c r="H28" s="16"/>
      <c r="I28" s="17"/>
      <c r="J28" s="17"/>
      <c r="L28" t="s">
        <v>70</v>
      </c>
    </row>
    <row r="29" spans="2:10" ht="12.75">
      <c r="B29" s="16" t="s">
        <v>59</v>
      </c>
      <c r="C29" s="16"/>
      <c r="D29" s="16"/>
      <c r="E29" s="75"/>
      <c r="F29" s="70"/>
      <c r="G29" s="75" t="s">
        <v>67</v>
      </c>
      <c r="H29" s="16"/>
      <c r="I29" s="17"/>
      <c r="J29" s="17"/>
    </row>
    <row r="30" spans="2:13" ht="15">
      <c r="B30" s="16" t="s">
        <v>60</v>
      </c>
      <c r="C30" s="16"/>
      <c r="D30" s="16"/>
      <c r="E30" s="75"/>
      <c r="F30" s="70"/>
      <c r="G30" s="75" t="s">
        <v>61</v>
      </c>
      <c r="H30" s="16"/>
      <c r="I30" s="17"/>
      <c r="J30" s="17"/>
      <c r="M30" s="18" t="s">
        <v>80</v>
      </c>
    </row>
    <row r="31" spans="2:10" ht="12.75">
      <c r="B31" s="16" t="s">
        <v>63</v>
      </c>
      <c r="C31" s="16"/>
      <c r="D31" s="16"/>
      <c r="E31" s="75"/>
      <c r="F31" s="70"/>
      <c r="G31" s="75" t="s">
        <v>62</v>
      </c>
      <c r="H31" s="16"/>
      <c r="I31" s="17"/>
      <c r="J3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A7">
      <selection activeCell="B38" sqref="B38"/>
    </sheetView>
  </sheetViews>
  <sheetFormatPr defaultColWidth="9.140625" defaultRowHeight="12.75"/>
  <cols>
    <col min="3" max="3" width="9.57421875" style="0" customWidth="1"/>
    <col min="4" max="8" width="12.7109375" style="1" customWidth="1"/>
    <col min="13" max="13" width="9.140625" style="32" customWidth="1"/>
    <col min="14" max="14" width="13.00390625" style="0" customWidth="1"/>
  </cols>
  <sheetData>
    <row r="1" ht="18">
      <c r="B1" s="5" t="s">
        <v>9</v>
      </c>
    </row>
    <row r="4" spans="2:8" ht="12.75">
      <c r="B4" s="6" t="s">
        <v>10</v>
      </c>
      <c r="C4" s="11"/>
      <c r="D4" s="12"/>
      <c r="E4" s="12"/>
      <c r="F4" s="12"/>
      <c r="G4" s="12"/>
      <c r="H4" s="13" t="s">
        <v>13</v>
      </c>
    </row>
    <row r="5" spans="2:8" ht="12.75">
      <c r="B5" s="14" t="s">
        <v>12</v>
      </c>
      <c r="C5" s="14"/>
      <c r="D5" s="4">
        <v>4.13</v>
      </c>
      <c r="E5" s="4">
        <v>5.83</v>
      </c>
      <c r="F5" s="4">
        <v>8.27</v>
      </c>
      <c r="G5" s="4">
        <v>11.69</v>
      </c>
      <c r="H5" s="4">
        <v>16.54</v>
      </c>
    </row>
    <row r="6" spans="2:8" ht="12.75">
      <c r="B6" s="7"/>
      <c r="C6" s="7"/>
      <c r="D6" s="4">
        <v>5.83</v>
      </c>
      <c r="E6" s="4">
        <v>8.27</v>
      </c>
      <c r="F6" s="4">
        <v>11.69</v>
      </c>
      <c r="G6" s="4">
        <v>16.54</v>
      </c>
      <c r="H6" s="4">
        <v>23.39</v>
      </c>
    </row>
    <row r="7" spans="2:8" ht="12.75">
      <c r="B7" s="7"/>
      <c r="C7" s="7"/>
      <c r="D7" s="23" t="s">
        <v>0</v>
      </c>
      <c r="E7" s="23" t="s">
        <v>1</v>
      </c>
      <c r="F7" s="23" t="s">
        <v>2</v>
      </c>
      <c r="G7" s="23" t="s">
        <v>3</v>
      </c>
      <c r="H7" s="23" t="s">
        <v>4</v>
      </c>
    </row>
    <row r="8" spans="2:8" ht="12.75">
      <c r="B8" s="8">
        <v>72</v>
      </c>
      <c r="C8" s="8" t="s">
        <v>8</v>
      </c>
      <c r="D8" s="4">
        <f>((D5*B8)*(D6*B8))*1.5</f>
        <v>187229.7504</v>
      </c>
      <c r="E8" s="4">
        <f>((E5*B8)*(E6*B8))*1.5</f>
        <v>374912.8415999999</v>
      </c>
      <c r="F8" s="4">
        <f>((F5*B8)*1.5)*((F6*B8)*1.5)</f>
        <v>1127632.3631999998</v>
      </c>
      <c r="G8" s="4">
        <f>((G5*B8)*(G6*B8))*1.5</f>
        <v>1503509.8175999997</v>
      </c>
      <c r="H8" s="4">
        <f>((H5*B8)*(H6*B8))*1.5</f>
        <v>3008305.7855999996</v>
      </c>
    </row>
    <row r="9" spans="2:8" ht="12.75">
      <c r="B9" s="22"/>
      <c r="C9" s="8"/>
      <c r="D9" s="81"/>
      <c r="E9" s="81"/>
      <c r="F9" s="81"/>
      <c r="G9" s="81"/>
      <c r="H9" s="81"/>
    </row>
    <row r="10" spans="2:14" ht="12.75">
      <c r="B10" s="9" t="s">
        <v>5</v>
      </c>
      <c r="C10" s="8"/>
      <c r="D10" s="2">
        <f>D8*(1/8)/1024</f>
        <v>22.855194140625</v>
      </c>
      <c r="E10" s="2">
        <f>E8*(1/8)/1024</f>
        <v>45.76572773437499</v>
      </c>
      <c r="F10" s="2">
        <f>F8*(1/8)/1024</f>
        <v>137.65043496093747</v>
      </c>
      <c r="G10" s="2">
        <f>G8*(1/8)/1024</f>
        <v>183.53391328124997</v>
      </c>
      <c r="H10" s="2">
        <f>(H8*(1/8))/1024</f>
        <v>367.22482734374995</v>
      </c>
      <c r="J10" s="16" t="s">
        <v>55</v>
      </c>
      <c r="K10" s="17"/>
      <c r="L10" s="17"/>
      <c r="M10" s="69"/>
      <c r="N10" s="37"/>
    </row>
    <row r="11" spans="2:14" ht="12.75">
      <c r="B11" s="9" t="s">
        <v>6</v>
      </c>
      <c r="C11" s="8"/>
      <c r="D11" s="2">
        <f>D8*(8/8)/1024</f>
        <v>182.841553125</v>
      </c>
      <c r="E11" s="2">
        <f>E8*(8/8)/1024</f>
        <v>366.12582187499993</v>
      </c>
      <c r="F11" s="2">
        <f>F8*(8/8)/1024</f>
        <v>1101.2034796874998</v>
      </c>
      <c r="G11" s="2">
        <f>G8*(8/8)/1024</f>
        <v>1468.2713062499997</v>
      </c>
      <c r="H11" s="2">
        <f>(H8*(8/8))/1024</f>
        <v>2937.7986187499996</v>
      </c>
      <c r="J11" s="17"/>
      <c r="K11" s="17"/>
      <c r="L11" s="17"/>
      <c r="M11" s="69"/>
      <c r="N11" s="37"/>
    </row>
    <row r="12" spans="2:16" ht="12.75">
      <c r="B12" s="9" t="s">
        <v>7</v>
      </c>
      <c r="C12" s="8"/>
      <c r="D12" s="2">
        <f>D8*(24/8)/1024</f>
        <v>548.5246593749999</v>
      </c>
      <c r="E12" s="2">
        <f>E8*(24/8)/1024</f>
        <v>1098.3774656249998</v>
      </c>
      <c r="F12" s="2">
        <f>D8*(24/8)/1024</f>
        <v>548.5246593749999</v>
      </c>
      <c r="G12" s="2">
        <f>(G8*(24/8))/1024</f>
        <v>4404.813918749999</v>
      </c>
      <c r="H12" s="2">
        <f>(H8*(24/8))/1024</f>
        <v>8813.39585625</v>
      </c>
      <c r="J12" s="16" t="s">
        <v>56</v>
      </c>
      <c r="K12" s="16"/>
      <c r="L12" s="16"/>
      <c r="M12" s="75" t="s">
        <v>64</v>
      </c>
      <c r="N12" s="70"/>
      <c r="P12" s="38"/>
    </row>
    <row r="13" spans="2:16" ht="12.75">
      <c r="B13" s="9"/>
      <c r="C13" s="8"/>
      <c r="J13" s="16" t="s">
        <v>57</v>
      </c>
      <c r="K13" s="16"/>
      <c r="L13" s="16"/>
      <c r="M13" s="75" t="s">
        <v>65</v>
      </c>
      <c r="N13" s="70"/>
      <c r="P13" s="38"/>
    </row>
    <row r="14" spans="2:16" ht="12.75">
      <c r="B14" s="10">
        <v>150</v>
      </c>
      <c r="C14" s="8" t="s">
        <v>8</v>
      </c>
      <c r="D14" s="3">
        <f>((D5*B14)*(D6*B14))*1.5</f>
        <v>812629.125</v>
      </c>
      <c r="E14" s="3">
        <f>((E5*B14)*(E6*B14))*1.5</f>
        <v>1627225.875</v>
      </c>
      <c r="F14" s="3">
        <f>((F5*B14)*1.5)*((F6*B14)*1.5)</f>
        <v>4894237.6875</v>
      </c>
      <c r="G14" s="3">
        <f>((G5*B14)*(G6*B14))*1.5</f>
        <v>6525650.25</v>
      </c>
      <c r="H14" s="3">
        <f>((H5*B14)*(H6*B14))*1.5</f>
        <v>13056882.75</v>
      </c>
      <c r="J14" s="16" t="s">
        <v>58</v>
      </c>
      <c r="K14" s="16"/>
      <c r="L14" s="16"/>
      <c r="M14" s="75" t="s">
        <v>66</v>
      </c>
      <c r="N14" s="70"/>
      <c r="P14" s="38"/>
    </row>
    <row r="15" spans="2:16" ht="12.75">
      <c r="B15" s="10"/>
      <c r="C15" s="8"/>
      <c r="D15" s="3"/>
      <c r="E15" s="3"/>
      <c r="F15" s="3"/>
      <c r="G15" s="3"/>
      <c r="H15" s="3"/>
      <c r="J15" s="16" t="s">
        <v>59</v>
      </c>
      <c r="K15" s="16"/>
      <c r="L15" s="16"/>
      <c r="M15" s="75" t="s">
        <v>67</v>
      </c>
      <c r="N15" s="70"/>
      <c r="P15" s="38"/>
    </row>
    <row r="16" spans="2:16" ht="12.75">
      <c r="B16" s="9" t="s">
        <v>5</v>
      </c>
      <c r="C16" s="8"/>
      <c r="D16" s="2">
        <f>D14*(1/8)/1024</f>
        <v>99.19789123535156</v>
      </c>
      <c r="E16" s="2">
        <f>E14*(1/8)/1024</f>
        <v>198.63597106933594</v>
      </c>
      <c r="F16" s="2">
        <f>F14*(1/8)/1024</f>
        <v>597.4411239624023</v>
      </c>
      <c r="G16" s="2">
        <f>(G14*(1/8))/1024</f>
        <v>796.5881652832031</v>
      </c>
      <c r="H16" s="2">
        <f>(H14*(1/8))/1024</f>
        <v>1593.8577575683594</v>
      </c>
      <c r="J16" s="16" t="s">
        <v>60</v>
      </c>
      <c r="K16" s="16"/>
      <c r="L16" s="16"/>
      <c r="M16" s="75" t="s">
        <v>61</v>
      </c>
      <c r="N16" s="70"/>
      <c r="P16" s="38"/>
    </row>
    <row r="17" spans="2:16" ht="12.75">
      <c r="B17" s="9" t="s">
        <v>6</v>
      </c>
      <c r="C17" s="8"/>
      <c r="D17" s="2">
        <f>D14*(8/8)/1024</f>
        <v>793.5831298828125</v>
      </c>
      <c r="E17" s="2">
        <f>E14*(8/8)/1024</f>
        <v>1589.0877685546875</v>
      </c>
      <c r="F17" s="2">
        <f>F14*(8/8)/1024</f>
        <v>4779.528991699219</v>
      </c>
      <c r="G17" s="2">
        <f>(G14*(8/8))/1024</f>
        <v>6372.705322265625</v>
      </c>
      <c r="H17" s="2">
        <f>(H14*(8/8))/1024</f>
        <v>12750.862060546875</v>
      </c>
      <c r="J17" s="16" t="s">
        <v>71</v>
      </c>
      <c r="K17" s="16"/>
      <c r="L17" s="16"/>
      <c r="M17" s="75" t="s">
        <v>62</v>
      </c>
      <c r="N17" s="70"/>
      <c r="P17" s="38"/>
    </row>
    <row r="18" spans="2:8" ht="12.75">
      <c r="B18" s="9" t="s">
        <v>7</v>
      </c>
      <c r="C18" s="8"/>
      <c r="D18" s="2">
        <f>D14*(24/8)/1024</f>
        <v>2380.7493896484375</v>
      </c>
      <c r="E18" s="2">
        <f>E14*(24/8)/1024</f>
        <v>4767.2633056640625</v>
      </c>
      <c r="F18" s="2">
        <f>F14*(24/8)/1024</f>
        <v>14338.586975097656</v>
      </c>
      <c r="G18" s="2">
        <f>(G14*(24/8))/1024</f>
        <v>19118.115966796875</v>
      </c>
      <c r="H18" s="2">
        <f>(H14*(24/8))/1024</f>
        <v>38252.586181640625</v>
      </c>
    </row>
    <row r="19" spans="2:3" ht="12.75">
      <c r="B19" s="9"/>
      <c r="C19" s="8"/>
    </row>
    <row r="20" spans="2:8" ht="12.75">
      <c r="B20" s="10">
        <v>200</v>
      </c>
      <c r="C20" s="8" t="s">
        <v>8</v>
      </c>
      <c r="D20" s="3">
        <f>((D5*B20)*(D6*B20))*1.5</f>
        <v>1444674</v>
      </c>
      <c r="E20" s="3">
        <f>((E5*B20)*(E6*B20))*1.5</f>
        <v>2892846</v>
      </c>
      <c r="F20" s="3">
        <f>((F5*B20)*(F6*B20))*1.5</f>
        <v>5800578</v>
      </c>
      <c r="G20" s="3">
        <f>((G5*B20)*(G6*B20))*1.5</f>
        <v>11601156</v>
      </c>
      <c r="H20" s="3">
        <f>((H5*B20)*(H6*B20))*1.5</f>
        <v>23212236</v>
      </c>
    </row>
    <row r="21" spans="2:8" ht="12.75">
      <c r="B21" s="10"/>
      <c r="C21" s="8"/>
      <c r="D21" s="3"/>
      <c r="E21" s="3"/>
      <c r="F21" s="3"/>
      <c r="G21" s="3"/>
      <c r="H21" s="3"/>
    </row>
    <row r="22" spans="2:8" ht="12.75">
      <c r="B22" s="9" t="s">
        <v>5</v>
      </c>
      <c r="C22" s="8"/>
      <c r="D22" s="2">
        <f>D20*(1/8)/1024</f>
        <v>176.351806640625</v>
      </c>
      <c r="E22" s="2">
        <f>E20*(1/8)/1024</f>
        <v>353.130615234375</v>
      </c>
      <c r="F22" s="2">
        <f>F20*(1/8)/1024</f>
        <v>708.078369140625</v>
      </c>
      <c r="G22" s="2">
        <f>(G20*(1/8))/1024</f>
        <v>1416.15673828125</v>
      </c>
      <c r="H22" s="2">
        <f>(H20*(1/8))/1024</f>
        <v>2833.52490234375</v>
      </c>
    </row>
    <row r="23" spans="2:8" ht="12.75">
      <c r="B23" s="9" t="s">
        <v>6</v>
      </c>
      <c r="C23" s="8"/>
      <c r="D23" s="2">
        <f>D20*(8/8)/1024</f>
        <v>1410.814453125</v>
      </c>
      <c r="E23" s="2">
        <f>E20*(8/8)/1024</f>
        <v>2825.044921875</v>
      </c>
      <c r="F23" s="2">
        <f>F20*(8/8)/1024</f>
        <v>5664.626953125</v>
      </c>
      <c r="G23" s="2">
        <f>(G20*(8/8))/1024</f>
        <v>11329.25390625</v>
      </c>
      <c r="H23" s="2">
        <f>(H20*(8/8))/1024</f>
        <v>22668.19921875</v>
      </c>
    </row>
    <row r="24" spans="2:8" ht="12.75">
      <c r="B24" s="9" t="s">
        <v>7</v>
      </c>
      <c r="C24" s="8"/>
      <c r="D24" s="2">
        <f>D20*(24/8)/1024</f>
        <v>4232.443359375</v>
      </c>
      <c r="E24" s="2">
        <f>E20*(24/8)/1024</f>
        <v>8475.134765625</v>
      </c>
      <c r="F24" s="2">
        <f>F20*(24/8)/1024</f>
        <v>16993.880859375</v>
      </c>
      <c r="G24" s="2">
        <f>(G20*(24/8))/1024</f>
        <v>33987.76171875</v>
      </c>
      <c r="H24" s="2">
        <f>(H20*(24/8))/1024</f>
        <v>68004.59765625</v>
      </c>
    </row>
    <row r="25" spans="2:3" ht="12.75">
      <c r="B25" s="9"/>
      <c r="C25" s="8"/>
    </row>
    <row r="26" spans="2:8" ht="12.75">
      <c r="B26" s="10">
        <v>250</v>
      </c>
      <c r="C26" s="8" t="s">
        <v>8</v>
      </c>
      <c r="D26" s="3">
        <f>((D5*B26)*(D6*B26))*1.5</f>
        <v>2257303.125</v>
      </c>
      <c r="E26" s="3">
        <f>((E5*B26)*(E6*B26))*1.5</f>
        <v>4520071.875</v>
      </c>
      <c r="F26" s="3">
        <f>((F5*B26)*(F6*B26))*1.5</f>
        <v>9063403.125</v>
      </c>
      <c r="G26" s="3">
        <f>((G5*B26)*(G6*B26))*1.5</f>
        <v>18126806.25</v>
      </c>
      <c r="H26" s="3">
        <f>((H5*B26)*(H6*B26))*1.5</f>
        <v>36269118.75</v>
      </c>
    </row>
    <row r="27" spans="2:8" ht="12.75">
      <c r="B27" s="10"/>
      <c r="C27" s="8"/>
      <c r="D27" s="3"/>
      <c r="E27" s="3"/>
      <c r="F27" s="3"/>
      <c r="G27" s="3"/>
      <c r="H27" s="3"/>
    </row>
    <row r="28" spans="2:8" ht="12.75">
      <c r="B28" s="9" t="s">
        <v>5</v>
      </c>
      <c r="C28" s="8"/>
      <c r="D28" s="2">
        <f>D26*(1/8)/1024</f>
        <v>275.54969787597656</v>
      </c>
      <c r="E28" s="2">
        <f>E26*(1/8)/1024</f>
        <v>551.7665863037109</v>
      </c>
      <c r="F28" s="2">
        <f>F26*(1/8)/1024</f>
        <v>1106.3724517822266</v>
      </c>
      <c r="G28" s="2">
        <f>(G26*(1/8))/1024</f>
        <v>2212.744903564453</v>
      </c>
      <c r="H28" s="2">
        <f>(H26*(1/8))/1024</f>
        <v>4427.382659912109</v>
      </c>
    </row>
    <row r="29" spans="2:8" ht="12.75">
      <c r="B29" s="9" t="s">
        <v>6</v>
      </c>
      <c r="C29" s="8"/>
      <c r="D29" s="2">
        <f>D26*(8/8)/1024</f>
        <v>2204.3975830078125</v>
      </c>
      <c r="E29" s="2">
        <f>E26*(8/8)/1024</f>
        <v>4414.1326904296875</v>
      </c>
      <c r="F29" s="2">
        <f>F26*(8/8)/1024</f>
        <v>8850.979614257812</v>
      </c>
      <c r="G29" s="2">
        <f>(G26*(8/8))/1024</f>
        <v>17701.959228515625</v>
      </c>
      <c r="H29" s="2">
        <f>(H26*(8/8))/1024</f>
        <v>35419.061279296875</v>
      </c>
    </row>
    <row r="30" spans="2:8" ht="12.75">
      <c r="B30" s="9" t="s">
        <v>7</v>
      </c>
      <c r="C30" s="8"/>
      <c r="D30" s="2">
        <f>D26*(24/8)/1024</f>
        <v>6613.1927490234375</v>
      </c>
      <c r="E30" s="2">
        <f>E26*(24/8)/1024</f>
        <v>13242.398071289062</v>
      </c>
      <c r="F30" s="2">
        <f>F26*(24/8)/1024</f>
        <v>26552.938842773438</v>
      </c>
      <c r="G30" s="2">
        <f>(G26*(24/8))/1024</f>
        <v>53105.877685546875</v>
      </c>
      <c r="H30" s="2">
        <f>(H26*(24/8))/1024</f>
        <v>106257.18383789062</v>
      </c>
    </row>
    <row r="31" spans="2:3" ht="12.75">
      <c r="B31" s="9"/>
      <c r="C31" s="8"/>
    </row>
    <row r="33" ht="12.75">
      <c r="B33" s="38" t="s">
        <v>43</v>
      </c>
    </row>
    <row r="35" spans="2:9" ht="15">
      <c r="B35" s="38" t="s">
        <v>11</v>
      </c>
      <c r="I35" s="18" t="s">
        <v>80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7">
      <selection activeCell="G30" sqref="G30"/>
    </sheetView>
  </sheetViews>
  <sheetFormatPr defaultColWidth="9.140625" defaultRowHeight="12.75"/>
  <cols>
    <col min="1" max="1" width="10.421875" style="0" customWidth="1"/>
    <col min="6" max="6" width="5.7109375" style="0" customWidth="1"/>
    <col min="7" max="7" width="13.00390625" style="0" customWidth="1"/>
    <col min="14" max="14" width="5.421875" style="0" customWidth="1"/>
  </cols>
  <sheetData>
    <row r="1" spans="2:13" ht="18">
      <c r="B1" s="5" t="s">
        <v>34</v>
      </c>
      <c r="M1" s="18" t="s">
        <v>80</v>
      </c>
    </row>
    <row r="3" ht="15.75">
      <c r="B3" s="76" t="s">
        <v>35</v>
      </c>
    </row>
    <row r="4" spans="4:10" ht="15">
      <c r="D4" s="6" t="s">
        <v>21</v>
      </c>
      <c r="G4" s="16" t="s">
        <v>20</v>
      </c>
      <c r="J4" s="48" t="s">
        <v>22</v>
      </c>
    </row>
    <row r="5" spans="2:10" ht="15">
      <c r="B5" s="15" t="s">
        <v>14</v>
      </c>
      <c r="D5" s="42">
        <v>0</v>
      </c>
      <c r="G5" s="17">
        <v>8</v>
      </c>
      <c r="J5" s="48" t="s">
        <v>54</v>
      </c>
    </row>
    <row r="6" spans="2:10" ht="15">
      <c r="B6" s="15" t="s">
        <v>15</v>
      </c>
      <c r="D6" s="42">
        <v>0</v>
      </c>
      <c r="G6" s="17">
        <v>6</v>
      </c>
      <c r="J6" s="18"/>
    </row>
    <row r="7" spans="2:10" ht="15.75">
      <c r="B7" s="15"/>
      <c r="D7" s="42"/>
      <c r="G7" s="17"/>
      <c r="I7" s="78"/>
      <c r="J7" s="79" t="s">
        <v>32</v>
      </c>
    </row>
    <row r="8" spans="2:15" ht="12.75">
      <c r="B8" s="15" t="s">
        <v>16</v>
      </c>
      <c r="D8" s="42">
        <v>150</v>
      </c>
      <c r="G8" s="17">
        <v>150</v>
      </c>
      <c r="L8" s="6" t="s">
        <v>21</v>
      </c>
      <c r="O8" s="16" t="s">
        <v>20</v>
      </c>
    </row>
    <row r="9" spans="2:16" ht="12.75">
      <c r="B9" s="15"/>
      <c r="D9" s="42"/>
      <c r="G9" s="17"/>
      <c r="I9" s="15"/>
      <c r="J9" s="15" t="s">
        <v>23</v>
      </c>
      <c r="L9" s="7">
        <v>0</v>
      </c>
      <c r="M9" t="s">
        <v>26</v>
      </c>
      <c r="O9" s="17">
        <v>800</v>
      </c>
      <c r="P9" t="s">
        <v>26</v>
      </c>
    </row>
    <row r="10" spans="2:16" ht="12.75">
      <c r="B10" s="15" t="s">
        <v>17</v>
      </c>
      <c r="D10" s="42">
        <v>1.5</v>
      </c>
      <c r="G10" s="17">
        <v>1.5</v>
      </c>
      <c r="I10" s="15"/>
      <c r="J10" s="15" t="s">
        <v>24</v>
      </c>
      <c r="L10" s="7">
        <v>0</v>
      </c>
      <c r="M10" t="s">
        <v>26</v>
      </c>
      <c r="O10" s="17">
        <v>600</v>
      </c>
      <c r="P10" t="s">
        <v>26</v>
      </c>
    </row>
    <row r="11" spans="2:15" ht="12.75">
      <c r="B11" s="15"/>
      <c r="D11" s="42"/>
      <c r="G11" s="17"/>
      <c r="I11" s="15"/>
      <c r="J11" s="15"/>
      <c r="L11" s="7"/>
      <c r="O11" s="17"/>
    </row>
    <row r="12" spans="2:15" ht="12.75">
      <c r="B12" s="15" t="s">
        <v>18</v>
      </c>
      <c r="D12" s="42">
        <v>24</v>
      </c>
      <c r="G12" s="17">
        <v>24</v>
      </c>
      <c r="I12" s="15"/>
      <c r="J12" s="15" t="s">
        <v>18</v>
      </c>
      <c r="L12" s="7">
        <v>24</v>
      </c>
      <c r="O12" s="17">
        <v>24</v>
      </c>
    </row>
    <row r="13" spans="2:15" ht="12.75">
      <c r="B13" s="15"/>
      <c r="D13" s="6"/>
      <c r="G13" s="17"/>
      <c r="I13" s="15"/>
      <c r="J13" s="15"/>
      <c r="L13" s="7"/>
      <c r="O13" s="17"/>
    </row>
    <row r="14" spans="2:15" ht="15">
      <c r="B14" s="40" t="s">
        <v>42</v>
      </c>
      <c r="D14" s="6"/>
      <c r="G14" s="17"/>
      <c r="I14" s="15"/>
      <c r="J14" s="40" t="s">
        <v>33</v>
      </c>
      <c r="L14" s="7"/>
      <c r="O14" s="17"/>
    </row>
    <row r="15" spans="4:15" ht="12.75">
      <c r="D15" s="6"/>
      <c r="G15" s="17"/>
      <c r="I15" s="15"/>
      <c r="J15" s="15"/>
      <c r="L15" s="7"/>
      <c r="O15" s="17"/>
    </row>
    <row r="16" spans="2:16" ht="12.75">
      <c r="B16" s="15" t="s">
        <v>30</v>
      </c>
      <c r="D16" s="39">
        <f>(D5*D8)*D10</f>
        <v>0</v>
      </c>
      <c r="G16" s="39">
        <f>(G5*G8)*G10</f>
        <v>1800</v>
      </c>
      <c r="I16" s="19"/>
      <c r="J16" s="19" t="s">
        <v>19</v>
      </c>
      <c r="K16" s="20"/>
      <c r="L16" s="41">
        <f>((L9*L10)*(L12/8))/1024</f>
        <v>0</v>
      </c>
      <c r="M16" s="21" t="s">
        <v>25</v>
      </c>
      <c r="N16" s="20"/>
      <c r="O16" s="41">
        <f>((O9*O10)*(O12/8))/1024</f>
        <v>1406.25</v>
      </c>
      <c r="P16" s="21" t="s">
        <v>25</v>
      </c>
    </row>
    <row r="17" spans="2:16" ht="12.75">
      <c r="B17" s="15" t="s">
        <v>31</v>
      </c>
      <c r="D17" s="39">
        <f>(D6*D8)*D10</f>
        <v>0</v>
      </c>
      <c r="G17" s="39">
        <f>(G6*G8)*G10</f>
        <v>1350</v>
      </c>
      <c r="L17" s="80">
        <f>L16/1024</f>
        <v>0</v>
      </c>
      <c r="M17" s="38" t="s">
        <v>83</v>
      </c>
      <c r="O17" s="80">
        <f>O16/1024</f>
        <v>1.373291015625</v>
      </c>
      <c r="P17" s="38" t="s">
        <v>83</v>
      </c>
    </row>
    <row r="18" spans="4:7" ht="12.75">
      <c r="D18" s="6"/>
      <c r="G18" s="17"/>
    </row>
    <row r="19" spans="2:15" s="20" customFormat="1" ht="12.75">
      <c r="B19" s="19" t="s">
        <v>19</v>
      </c>
      <c r="D19" s="41">
        <f>(D16*D17)*(D12/8)/1024</f>
        <v>0</v>
      </c>
      <c r="E19" s="21" t="s">
        <v>25</v>
      </c>
      <c r="G19" s="41">
        <f>(((G16*G17)*G10)*(G12/8))/1024</f>
        <v>10678.7109375</v>
      </c>
      <c r="H19" s="21" t="s">
        <v>25</v>
      </c>
      <c r="J19" s="16" t="s">
        <v>79</v>
      </c>
      <c r="K19" s="17"/>
      <c r="L19" s="17"/>
      <c r="M19" s="17"/>
      <c r="N19" s="17"/>
      <c r="O19" s="17"/>
    </row>
    <row r="20" spans="4:15" ht="12.75">
      <c r="D20" s="80">
        <f>D19/1024</f>
        <v>0</v>
      </c>
      <c r="E20" s="38" t="s">
        <v>83</v>
      </c>
      <c r="G20" s="80">
        <f>G19/1024</f>
        <v>10.428428649902344</v>
      </c>
      <c r="H20" s="38" t="s">
        <v>83</v>
      </c>
      <c r="J20" s="17"/>
      <c r="K20" s="16"/>
      <c r="L20" s="16"/>
      <c r="M20" s="16"/>
      <c r="N20" s="16"/>
      <c r="O20" s="17"/>
    </row>
    <row r="21" spans="10:15" ht="12.75">
      <c r="J21" s="17"/>
      <c r="K21" s="17"/>
      <c r="L21" s="17"/>
      <c r="M21" s="73" t="s">
        <v>72</v>
      </c>
      <c r="N21" s="17"/>
      <c r="O21" s="69" t="s">
        <v>75</v>
      </c>
    </row>
    <row r="22" spans="10:15" ht="12.75">
      <c r="J22" s="17"/>
      <c r="K22" s="17"/>
      <c r="L22" s="17"/>
      <c r="M22" s="73" t="s">
        <v>74</v>
      </c>
      <c r="N22" s="17"/>
      <c r="O22" s="69" t="s">
        <v>73</v>
      </c>
    </row>
    <row r="23" spans="2:15" ht="15.75">
      <c r="B23" s="77" t="s">
        <v>41</v>
      </c>
      <c r="C23" s="49"/>
      <c r="D23" s="49"/>
      <c r="E23" s="49"/>
      <c r="F23" s="49"/>
      <c r="J23" s="17"/>
      <c r="K23" s="17"/>
      <c r="L23" s="17"/>
      <c r="M23" s="73" t="s">
        <v>76</v>
      </c>
      <c r="N23" s="17"/>
      <c r="O23" s="69" t="s">
        <v>77</v>
      </c>
    </row>
    <row r="24" spans="2:15" ht="15">
      <c r="B24" s="18"/>
      <c r="J24" s="17"/>
      <c r="K24" s="17"/>
      <c r="L24" s="17"/>
      <c r="M24" s="73" t="s">
        <v>78</v>
      </c>
      <c r="N24" s="17"/>
      <c r="O24" s="69">
        <v>1</v>
      </c>
    </row>
    <row r="25" ht="15">
      <c r="B25" s="46" t="s">
        <v>82</v>
      </c>
    </row>
    <row r="26" spans="2:15" ht="15">
      <c r="B26" s="46" t="s">
        <v>81</v>
      </c>
      <c r="J26" s="16" t="s">
        <v>55</v>
      </c>
      <c r="K26" s="17"/>
      <c r="L26" s="17"/>
      <c r="M26" s="69"/>
      <c r="N26" s="37"/>
      <c r="O26" s="17"/>
    </row>
    <row r="27" spans="2:15" ht="15">
      <c r="B27" s="46"/>
      <c r="J27" s="17"/>
      <c r="K27" s="17"/>
      <c r="L27" s="17"/>
      <c r="M27" s="69"/>
      <c r="N27" s="37"/>
      <c r="O27" s="17"/>
    </row>
    <row r="28" spans="2:15" ht="15">
      <c r="B28" s="46"/>
      <c r="E28" s="6" t="s">
        <v>21</v>
      </c>
      <c r="J28" s="17"/>
      <c r="K28" s="66"/>
      <c r="L28" s="72" t="s">
        <v>56</v>
      </c>
      <c r="M28" s="17"/>
      <c r="N28" s="71"/>
      <c r="O28" s="72" t="s">
        <v>64</v>
      </c>
    </row>
    <row r="29" spans="3:15" ht="12.75">
      <c r="C29" s="15" t="s">
        <v>36</v>
      </c>
      <c r="E29" s="7">
        <v>3101</v>
      </c>
      <c r="J29" s="17"/>
      <c r="K29" s="66"/>
      <c r="L29" s="72" t="s">
        <v>57</v>
      </c>
      <c r="M29" s="17"/>
      <c r="N29" s="71"/>
      <c r="O29" s="72" t="s">
        <v>65</v>
      </c>
    </row>
    <row r="30" spans="1:15" ht="12.75">
      <c r="A30" s="15"/>
      <c r="C30" s="15" t="s">
        <v>38</v>
      </c>
      <c r="D30" s="43"/>
      <c r="E30" s="7">
        <v>8</v>
      </c>
      <c r="F30" s="43"/>
      <c r="G30" s="43"/>
      <c r="J30" s="17"/>
      <c r="K30" s="66"/>
      <c r="L30" s="72" t="s">
        <v>58</v>
      </c>
      <c r="M30" s="17"/>
      <c r="N30" s="71"/>
      <c r="O30" s="72" t="s">
        <v>66</v>
      </c>
    </row>
    <row r="31" spans="1:15" ht="12.75">
      <c r="A31" s="15"/>
      <c r="B31" s="15"/>
      <c r="D31" s="43"/>
      <c r="E31" s="7"/>
      <c r="F31" s="43"/>
      <c r="G31" s="43"/>
      <c r="J31" s="17"/>
      <c r="K31" s="66"/>
      <c r="L31" s="72" t="s">
        <v>59</v>
      </c>
      <c r="M31" s="17"/>
      <c r="N31" s="71"/>
      <c r="O31" s="72" t="s">
        <v>67</v>
      </c>
    </row>
    <row r="32" spans="1:15" ht="12.75">
      <c r="A32" s="15"/>
      <c r="B32" s="15"/>
      <c r="D32" s="43"/>
      <c r="E32" s="7"/>
      <c r="F32" s="43"/>
      <c r="G32" s="43"/>
      <c r="J32" s="17"/>
      <c r="K32" s="66"/>
      <c r="L32" s="72" t="s">
        <v>60</v>
      </c>
      <c r="M32" s="17"/>
      <c r="N32" s="71"/>
      <c r="O32" s="72" t="s">
        <v>61</v>
      </c>
    </row>
    <row r="33" spans="1:15" ht="12.75">
      <c r="A33" s="15"/>
      <c r="B33" s="15"/>
      <c r="C33" s="15" t="s">
        <v>37</v>
      </c>
      <c r="D33" s="43"/>
      <c r="E33" s="6">
        <f>E29/E30</f>
        <v>387.625</v>
      </c>
      <c r="F33" s="47" t="s">
        <v>39</v>
      </c>
      <c r="G33" s="43" t="s">
        <v>40</v>
      </c>
      <c r="J33" s="17"/>
      <c r="K33" s="66"/>
      <c r="L33" s="72" t="s">
        <v>71</v>
      </c>
      <c r="M33" s="17"/>
      <c r="N33" s="71"/>
      <c r="O33" s="72" t="s">
        <v>62</v>
      </c>
    </row>
    <row r="34" spans="1:7" ht="12.75">
      <c r="A34" s="15"/>
      <c r="B34" s="15"/>
      <c r="D34" s="43"/>
      <c r="E34" s="43"/>
      <c r="F34" s="43"/>
      <c r="G34" s="43"/>
    </row>
    <row r="35" spans="1:7" ht="15">
      <c r="A35" s="15"/>
      <c r="B35" s="40"/>
      <c r="D35" s="43"/>
      <c r="E35" s="43"/>
      <c r="F35" s="43"/>
      <c r="G35" s="43"/>
    </row>
    <row r="36" spans="1:7" ht="12.75">
      <c r="A36" s="15"/>
      <c r="B36" s="15"/>
      <c r="D36" s="43"/>
      <c r="E36" s="43"/>
      <c r="F36" s="43"/>
      <c r="G36" s="43"/>
    </row>
    <row r="37" spans="1:8" s="20" customFormat="1" ht="12.75">
      <c r="A37" s="19"/>
      <c r="B37" s="19"/>
      <c r="D37" s="44"/>
      <c r="E37" s="44"/>
      <c r="F37" s="45"/>
      <c r="G37" s="44"/>
      <c r="H37" s="21"/>
    </row>
  </sheetData>
  <sheetProtection/>
  <printOptions/>
  <pageMargins left="0.5" right="0.32" top="0.5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5"/>
  <sheetViews>
    <sheetView zoomScalePageLayoutView="0" workbookViewId="0" topLeftCell="A1">
      <selection activeCell="E14" sqref="E14"/>
    </sheetView>
  </sheetViews>
  <sheetFormatPr defaultColWidth="9.140625" defaultRowHeight="12.75"/>
  <cols>
    <col min="4" max="4" width="9.140625" style="62" customWidth="1"/>
  </cols>
  <sheetData>
    <row r="1" ht="18">
      <c r="B1" s="5" t="s">
        <v>44</v>
      </c>
    </row>
    <row r="2" ht="12.75"/>
    <row r="3" ht="12.75">
      <c r="B3" s="61" t="s">
        <v>45</v>
      </c>
    </row>
    <row r="4" ht="12.75"/>
    <row r="5" ht="12.75"/>
    <row r="6" spans="4:14" ht="12.75">
      <c r="D6" s="63" t="s">
        <v>21</v>
      </c>
      <c r="F6" s="38" t="s">
        <v>20</v>
      </c>
      <c r="I6" s="16" t="s">
        <v>79</v>
      </c>
      <c r="J6" s="17"/>
      <c r="K6" s="17"/>
      <c r="L6" s="17"/>
      <c r="M6" s="17"/>
      <c r="N6" s="17"/>
    </row>
    <row r="7" spans="2:14" ht="12.75">
      <c r="B7" s="15" t="s">
        <v>30</v>
      </c>
      <c r="D7" s="64">
        <v>0</v>
      </c>
      <c r="F7" s="67">
        <v>800</v>
      </c>
      <c r="I7" s="17"/>
      <c r="J7" s="16"/>
      <c r="K7" s="16"/>
      <c r="L7" s="16"/>
      <c r="M7" s="16"/>
      <c r="N7" s="17"/>
    </row>
    <row r="8" spans="2:14" ht="12.75">
      <c r="B8" s="15" t="s">
        <v>31</v>
      </c>
      <c r="D8" s="64">
        <v>0</v>
      </c>
      <c r="F8" s="67">
        <v>600</v>
      </c>
      <c r="I8" s="17" t="s">
        <v>72</v>
      </c>
      <c r="J8" s="17"/>
      <c r="K8" s="17"/>
      <c r="L8" s="17"/>
      <c r="M8" s="17"/>
      <c r="N8" s="69" t="s">
        <v>73</v>
      </c>
    </row>
    <row r="9" spans="4:14" ht="12.75">
      <c r="D9" s="64"/>
      <c r="F9" s="67"/>
      <c r="I9" s="17" t="s">
        <v>74</v>
      </c>
      <c r="J9" s="17"/>
      <c r="K9" s="17"/>
      <c r="L9" s="17"/>
      <c r="M9" s="17"/>
      <c r="N9" s="69" t="s">
        <v>75</v>
      </c>
    </row>
    <row r="10" spans="2:14" ht="12.75">
      <c r="B10" s="15" t="s">
        <v>17</v>
      </c>
      <c r="D10" s="65">
        <v>1.5</v>
      </c>
      <c r="F10" s="68">
        <v>1.5</v>
      </c>
      <c r="I10" s="17" t="s">
        <v>76</v>
      </c>
      <c r="J10" s="17"/>
      <c r="K10" s="17"/>
      <c r="L10" s="17"/>
      <c r="M10" s="17"/>
      <c r="N10" s="69" t="s">
        <v>77</v>
      </c>
    </row>
    <row r="11" spans="4:14" ht="12.75">
      <c r="D11" s="64"/>
      <c r="F11" s="67"/>
      <c r="I11" s="17" t="s">
        <v>78</v>
      </c>
      <c r="J11" s="17"/>
      <c r="K11" s="17"/>
      <c r="L11" s="17"/>
      <c r="M11" s="17"/>
      <c r="N11" s="69">
        <v>1</v>
      </c>
    </row>
    <row r="12" spans="2:6" ht="12.75">
      <c r="B12" s="15" t="s">
        <v>46</v>
      </c>
      <c r="D12" s="64">
        <v>150</v>
      </c>
      <c r="F12" s="67">
        <v>150</v>
      </c>
    </row>
    <row r="13" spans="4:6" ht="12.75">
      <c r="D13" s="64"/>
      <c r="F13" s="67"/>
    </row>
    <row r="14" spans="4:14" ht="12.75">
      <c r="D14" s="64"/>
      <c r="F14" s="67"/>
      <c r="I14" s="16" t="s">
        <v>55</v>
      </c>
      <c r="J14" s="17"/>
      <c r="K14" s="17"/>
      <c r="L14" s="69"/>
      <c r="M14" s="37"/>
      <c r="N14" s="17"/>
    </row>
    <row r="15" spans="2:14" ht="12.75">
      <c r="B15" s="15" t="s">
        <v>47</v>
      </c>
      <c r="D15" s="65">
        <f>(D7/D12)/D10</f>
        <v>0</v>
      </c>
      <c r="F15" s="68">
        <f>(F7/F12)/F10</f>
        <v>3.5555555555555554</v>
      </c>
      <c r="I15" s="17"/>
      <c r="J15" s="17"/>
      <c r="K15" s="17"/>
      <c r="L15" s="69"/>
      <c r="M15" s="37"/>
      <c r="N15" s="17"/>
    </row>
    <row r="16" spans="2:14" ht="12.75">
      <c r="B16" s="15" t="s">
        <v>48</v>
      </c>
      <c r="D16" s="65">
        <f>(D8/D12)/D10</f>
        <v>0</v>
      </c>
      <c r="F16" s="68">
        <f>(F8/F12)/F10</f>
        <v>2.6666666666666665</v>
      </c>
      <c r="I16" s="66" t="s">
        <v>56</v>
      </c>
      <c r="J16" s="66"/>
      <c r="K16" s="66"/>
      <c r="L16" s="66" t="s">
        <v>64</v>
      </c>
      <c r="M16" s="71"/>
      <c r="N16" s="17"/>
    </row>
    <row r="17" spans="9:14" ht="12.75">
      <c r="I17" s="66" t="s">
        <v>57</v>
      </c>
      <c r="J17" s="66"/>
      <c r="K17" s="66"/>
      <c r="L17" s="66" t="s">
        <v>65</v>
      </c>
      <c r="M17" s="71"/>
      <c r="N17" s="17"/>
    </row>
    <row r="18" spans="9:14" ht="12.75">
      <c r="I18" s="66" t="s">
        <v>58</v>
      </c>
      <c r="J18" s="66"/>
      <c r="K18" s="66"/>
      <c r="L18" s="66" t="s">
        <v>66</v>
      </c>
      <c r="M18" s="71"/>
      <c r="N18" s="17"/>
    </row>
    <row r="19" spans="9:14" ht="12.75">
      <c r="I19" s="66" t="s">
        <v>59</v>
      </c>
      <c r="J19" s="66"/>
      <c r="K19" s="66"/>
      <c r="L19" s="66" t="s">
        <v>67</v>
      </c>
      <c r="M19" s="71"/>
      <c r="N19" s="17"/>
    </row>
    <row r="20" spans="2:14" ht="12.75">
      <c r="B20" s="38" t="s">
        <v>49</v>
      </c>
      <c r="I20" s="66" t="s">
        <v>60</v>
      </c>
      <c r="J20" s="66"/>
      <c r="K20" s="66"/>
      <c r="L20" s="66" t="s">
        <v>61</v>
      </c>
      <c r="M20" s="71"/>
      <c r="N20" s="17"/>
    </row>
    <row r="21" spans="2:14" ht="12.75">
      <c r="B21" t="s">
        <v>52</v>
      </c>
      <c r="I21" s="66" t="s">
        <v>71</v>
      </c>
      <c r="J21" s="66"/>
      <c r="K21" s="66"/>
      <c r="L21" s="66" t="s">
        <v>62</v>
      </c>
      <c r="M21" s="71"/>
      <c r="N21" s="17"/>
    </row>
    <row r="22" ht="12.75">
      <c r="B22" t="s">
        <v>50</v>
      </c>
    </row>
    <row r="23" ht="12.75">
      <c r="B23" t="s">
        <v>51</v>
      </c>
    </row>
    <row r="25" spans="2:11" ht="15">
      <c r="B25" t="s">
        <v>53</v>
      </c>
      <c r="K25" s="18" t="s">
        <v>80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15.00390625" style="0" customWidth="1"/>
    <col min="5" max="5" width="14.00390625" style="0" customWidth="1"/>
    <col min="15" max="15" width="12.57421875" style="0" customWidth="1"/>
  </cols>
  <sheetData>
    <row r="1" spans="2:9" ht="18">
      <c r="B1" s="5" t="s">
        <v>88</v>
      </c>
      <c r="I1" s="18" t="s">
        <v>80</v>
      </c>
    </row>
    <row r="2" spans="2:16" ht="18">
      <c r="B2" s="5"/>
      <c r="P2" s="18"/>
    </row>
    <row r="3" spans="2:8" ht="15">
      <c r="B3" s="48" t="s">
        <v>158</v>
      </c>
      <c r="G3" s="38"/>
      <c r="H3" s="48" t="s">
        <v>162</v>
      </c>
    </row>
    <row r="4" spans="2:12" ht="15.75">
      <c r="B4" s="76"/>
      <c r="H4" s="15" t="s">
        <v>156</v>
      </c>
      <c r="I4" s="38"/>
      <c r="J4" s="38"/>
      <c r="K4" s="111">
        <f>E20/E5</f>
        <v>1.373291015625</v>
      </c>
      <c r="L4" s="21" t="s">
        <v>83</v>
      </c>
    </row>
    <row r="5" spans="3:19" ht="14.25">
      <c r="C5" s="15" t="s">
        <v>84</v>
      </c>
      <c r="E5" s="88">
        <v>1</v>
      </c>
      <c r="F5" s="38" t="s">
        <v>98</v>
      </c>
      <c r="G5" s="95"/>
      <c r="K5" s="111"/>
      <c r="L5" s="21"/>
      <c r="M5" s="95"/>
      <c r="N5" s="95"/>
      <c r="O5" s="95"/>
      <c r="P5" s="95"/>
      <c r="Q5" s="95"/>
      <c r="R5" s="95"/>
      <c r="S5" s="95"/>
    </row>
    <row r="6" spans="8:12" ht="15">
      <c r="H6" s="91" t="s">
        <v>93</v>
      </c>
      <c r="J6" s="15" t="s">
        <v>87</v>
      </c>
      <c r="K6" s="111">
        <f>E23/E5</f>
        <v>0.6866455078125</v>
      </c>
      <c r="L6" s="21" t="s">
        <v>83</v>
      </c>
    </row>
    <row r="7" spans="7:12" ht="15.75">
      <c r="G7" s="38"/>
      <c r="H7" s="79"/>
      <c r="J7" s="15" t="s">
        <v>85</v>
      </c>
      <c r="K7" s="111">
        <f>E24/E5</f>
        <v>0.89263916015625</v>
      </c>
      <c r="L7" s="21" t="s">
        <v>83</v>
      </c>
    </row>
    <row r="8" spans="7:12" ht="12.75">
      <c r="G8" s="38"/>
      <c r="J8" s="38"/>
      <c r="K8" s="111"/>
      <c r="L8" s="21"/>
    </row>
    <row r="9" spans="2:12" ht="15">
      <c r="B9" s="48" t="s">
        <v>159</v>
      </c>
      <c r="C9" s="40"/>
      <c r="E9" s="95"/>
      <c r="F9" s="95"/>
      <c r="H9" s="91" t="s">
        <v>94</v>
      </c>
      <c r="J9" s="93" t="s">
        <v>87</v>
      </c>
      <c r="K9" s="111">
        <f>E26/E5</f>
        <v>0.23345947265625003</v>
      </c>
      <c r="L9" s="21" t="s">
        <v>83</v>
      </c>
    </row>
    <row r="10" spans="5:12" ht="12.75">
      <c r="E10" s="6" t="s">
        <v>21</v>
      </c>
      <c r="J10" s="15" t="s">
        <v>85</v>
      </c>
      <c r="K10" s="111">
        <f>E27/E5</f>
        <v>0.3021240234375</v>
      </c>
      <c r="L10" s="21" t="s">
        <v>83</v>
      </c>
    </row>
    <row r="11" spans="2:12" ht="12.75">
      <c r="B11" s="15"/>
      <c r="C11" s="15" t="s">
        <v>23</v>
      </c>
      <c r="E11" s="7">
        <v>800</v>
      </c>
      <c r="F11" s="38" t="s">
        <v>26</v>
      </c>
      <c r="J11" s="38"/>
      <c r="K11" s="111"/>
      <c r="L11" s="21"/>
    </row>
    <row r="12" spans="2:12" ht="15">
      <c r="B12" s="15"/>
      <c r="C12" s="15" t="s">
        <v>24</v>
      </c>
      <c r="E12" s="7">
        <v>600</v>
      </c>
      <c r="F12" s="38" t="s">
        <v>26</v>
      </c>
      <c r="G12" s="21"/>
      <c r="H12" s="91" t="s">
        <v>89</v>
      </c>
      <c r="J12" s="15" t="s">
        <v>90</v>
      </c>
      <c r="K12" s="111">
        <f>E29/E5</f>
        <v>0.48065185546874994</v>
      </c>
      <c r="L12" s="21" t="s">
        <v>83</v>
      </c>
    </row>
    <row r="13" spans="2:12" ht="12.75">
      <c r="B13" s="15"/>
      <c r="C13" s="15"/>
      <c r="E13" s="7"/>
      <c r="G13" s="38"/>
      <c r="H13" s="15"/>
      <c r="J13" s="15" t="s">
        <v>91</v>
      </c>
      <c r="K13" s="111">
        <f>E30/E5</f>
        <v>0.0274658203125</v>
      </c>
      <c r="L13" s="21" t="s">
        <v>83</v>
      </c>
    </row>
    <row r="14" spans="2:12" ht="12.75">
      <c r="B14" s="15"/>
      <c r="C14" s="15" t="s">
        <v>18</v>
      </c>
      <c r="E14" s="7">
        <v>24</v>
      </c>
      <c r="F14" s="38" t="s">
        <v>160</v>
      </c>
      <c r="G14" s="38"/>
      <c r="H14" s="15"/>
      <c r="J14" s="15" t="s">
        <v>92</v>
      </c>
      <c r="K14" s="111">
        <f>E31/E5</f>
        <v>0.1373291015625</v>
      </c>
      <c r="L14" s="21" t="s">
        <v>83</v>
      </c>
    </row>
    <row r="15" spans="1:12" ht="12.75">
      <c r="A15" s="90"/>
      <c r="B15" s="90"/>
      <c r="C15" s="114" t="s">
        <v>95</v>
      </c>
      <c r="D15" s="116"/>
      <c r="E15" s="53">
        <f>(((E11*E12)*(E14/8))/1024)*E5</f>
        <v>1406.25</v>
      </c>
      <c r="F15" s="53" t="s">
        <v>25</v>
      </c>
      <c r="G15" s="38"/>
      <c r="H15" s="15"/>
      <c r="J15" s="15"/>
      <c r="K15" s="2"/>
      <c r="L15" s="21"/>
    </row>
    <row r="16" spans="1:12" ht="12.75">
      <c r="A16" s="90"/>
      <c r="B16" s="90"/>
      <c r="C16" s="90"/>
      <c r="D16" s="117"/>
      <c r="E16" s="118">
        <f>E15/1024</f>
        <v>1.373291015625</v>
      </c>
      <c r="F16" s="119" t="s">
        <v>83</v>
      </c>
      <c r="G16" s="38"/>
      <c r="H16" s="15"/>
      <c r="J16" s="15"/>
      <c r="K16" s="2"/>
      <c r="L16" s="21"/>
    </row>
    <row r="17" spans="1:19" ht="12.75">
      <c r="A17" s="90"/>
      <c r="B17" s="115"/>
      <c r="C17" s="90"/>
      <c r="D17" s="117"/>
      <c r="E17" s="118"/>
      <c r="F17" s="119"/>
      <c r="I17" s="38"/>
      <c r="J17" s="61" t="s">
        <v>157</v>
      </c>
      <c r="K17" s="38"/>
      <c r="L17" s="112" t="s">
        <v>96</v>
      </c>
      <c r="O17" s="82"/>
      <c r="P17" s="38"/>
      <c r="R17" s="82"/>
      <c r="S17" s="38"/>
    </row>
    <row r="18" spans="2:19" ht="15">
      <c r="B18" s="48" t="s">
        <v>161</v>
      </c>
      <c r="C18" s="92"/>
      <c r="I18" s="38"/>
      <c r="J18" s="113" t="s">
        <v>100</v>
      </c>
      <c r="K18" s="38"/>
      <c r="L18" s="112" t="s">
        <v>97</v>
      </c>
      <c r="P18" s="92"/>
      <c r="Q18" s="99"/>
      <c r="R18" s="99"/>
      <c r="S18" s="96"/>
    </row>
    <row r="19" spans="16:18" ht="12.75">
      <c r="P19" s="47"/>
      <c r="Q19" s="47"/>
      <c r="R19" s="43"/>
    </row>
    <row r="20" spans="2:18" ht="15.75">
      <c r="B20" s="77"/>
      <c r="C20" s="15" t="s">
        <v>86</v>
      </c>
      <c r="E20" s="105">
        <f>E16</f>
        <v>1.373291015625</v>
      </c>
      <c r="F20" s="21" t="s">
        <v>83</v>
      </c>
      <c r="G20" s="111">
        <f>E20/1024</f>
        <v>0.001341104507446289</v>
      </c>
      <c r="H20" s="21" t="s">
        <v>99</v>
      </c>
      <c r="I20" s="89">
        <f>E20/E5</f>
        <v>1.373291015625</v>
      </c>
      <c r="J20" s="41">
        <f>ROUNDDOWN(640/I20,0)</f>
        <v>466</v>
      </c>
      <c r="L20" s="94">
        <f>ROUNDUP((E5/J20),0)</f>
        <v>1</v>
      </c>
      <c r="P20" s="43"/>
      <c r="Q20" s="43"/>
      <c r="R20" s="83"/>
    </row>
    <row r="21" spans="2:18" ht="15.75">
      <c r="B21" s="77"/>
      <c r="C21" s="15"/>
      <c r="E21" s="109"/>
      <c r="F21" s="44"/>
      <c r="G21" s="111"/>
      <c r="H21" s="21"/>
      <c r="I21" s="110"/>
      <c r="J21" s="44"/>
      <c r="K21" s="43"/>
      <c r="L21" s="50"/>
      <c r="P21" s="43"/>
      <c r="Q21" s="43"/>
      <c r="R21" s="83"/>
    </row>
    <row r="22" spans="5:18" ht="12.75">
      <c r="E22" s="43"/>
      <c r="F22" s="43"/>
      <c r="G22" s="111"/>
      <c r="H22" s="21"/>
      <c r="I22" s="110"/>
      <c r="J22" s="44"/>
      <c r="K22" s="43"/>
      <c r="L22" s="50"/>
      <c r="Q22" s="43"/>
      <c r="R22" s="83"/>
    </row>
    <row r="23" spans="2:18" ht="15">
      <c r="B23" s="91" t="s">
        <v>93</v>
      </c>
      <c r="D23" s="15" t="s">
        <v>87</v>
      </c>
      <c r="E23" s="80">
        <f>E16*0.5</f>
        <v>0.6866455078125</v>
      </c>
      <c r="F23" s="38" t="s">
        <v>83</v>
      </c>
      <c r="G23" s="111">
        <f aca="true" t="shared" si="0" ref="G23:G31">E23/1024</f>
        <v>0.0006705522537231445</v>
      </c>
      <c r="H23" s="21" t="s">
        <v>99</v>
      </c>
      <c r="I23" s="89">
        <f>E23/E5</f>
        <v>0.6866455078125</v>
      </c>
      <c r="J23" s="41">
        <f aca="true" t="shared" si="1" ref="J23:J31">ROUNDDOWN(640/I23,0)</f>
        <v>932</v>
      </c>
      <c r="L23" s="94">
        <f>ROUNDUP((E5/J23),0)</f>
        <v>1</v>
      </c>
      <c r="Q23" s="43"/>
      <c r="R23" s="83"/>
    </row>
    <row r="24" spans="2:12" ht="15.75">
      <c r="B24" s="79"/>
      <c r="D24" s="15" t="s">
        <v>85</v>
      </c>
      <c r="E24" s="80">
        <f>E16*0.65</f>
        <v>0.89263916015625</v>
      </c>
      <c r="F24" s="38" t="s">
        <v>83</v>
      </c>
      <c r="G24" s="111">
        <f t="shared" si="0"/>
        <v>0.0008717179298400879</v>
      </c>
      <c r="H24" s="21" t="s">
        <v>99</v>
      </c>
      <c r="I24" s="89">
        <f>E24/E5</f>
        <v>0.89263916015625</v>
      </c>
      <c r="J24" s="41">
        <f t="shared" si="1"/>
        <v>716</v>
      </c>
      <c r="L24" s="94">
        <f>ROUNDUP((E5/J24),0)</f>
        <v>1</v>
      </c>
    </row>
    <row r="25" spans="4:18" ht="12.75">
      <c r="D25" s="38"/>
      <c r="E25" s="80"/>
      <c r="F25" s="38"/>
      <c r="G25" s="111"/>
      <c r="H25" s="21"/>
      <c r="I25" s="89"/>
      <c r="J25" s="41"/>
      <c r="L25" s="94"/>
      <c r="Q25" s="84"/>
      <c r="R25" s="43"/>
    </row>
    <row r="26" spans="2:18" ht="15">
      <c r="B26" s="91" t="s">
        <v>94</v>
      </c>
      <c r="D26" s="93" t="s">
        <v>87</v>
      </c>
      <c r="E26" s="80">
        <f>E16*0.17</f>
        <v>0.23345947265625003</v>
      </c>
      <c r="F26" s="38" t="s">
        <v>83</v>
      </c>
      <c r="G26" s="111">
        <f t="shared" si="0"/>
        <v>0.00022798776626586917</v>
      </c>
      <c r="H26" s="21" t="s">
        <v>99</v>
      </c>
      <c r="I26" s="89">
        <f>E26/E5</f>
        <v>0.23345947265625003</v>
      </c>
      <c r="J26" s="41">
        <f t="shared" si="1"/>
        <v>2741</v>
      </c>
      <c r="L26" s="94">
        <f>ROUNDUP((E5/J26),0)</f>
        <v>1</v>
      </c>
      <c r="O26" s="43"/>
      <c r="P26" s="83"/>
      <c r="Q26" s="84"/>
      <c r="R26" s="43"/>
    </row>
    <row r="27" spans="4:18" ht="12.75">
      <c r="D27" s="15" t="s">
        <v>85</v>
      </c>
      <c r="E27" s="80">
        <f>E16*0.22</f>
        <v>0.3021240234375</v>
      </c>
      <c r="F27" s="38" t="s">
        <v>83</v>
      </c>
      <c r="G27" s="111">
        <f t="shared" si="0"/>
        <v>0.0002950429916381836</v>
      </c>
      <c r="H27" s="21" t="s">
        <v>99</v>
      </c>
      <c r="I27" s="89">
        <f>E27/E5</f>
        <v>0.3021240234375</v>
      </c>
      <c r="J27" s="41">
        <f t="shared" si="1"/>
        <v>2118</v>
      </c>
      <c r="L27" s="94">
        <f>ROUNDUP((E5/J27),0)</f>
        <v>1</v>
      </c>
      <c r="O27" s="85"/>
      <c r="P27" s="43"/>
      <c r="Q27" s="86"/>
      <c r="R27" s="85"/>
    </row>
    <row r="28" spans="1:19" ht="15">
      <c r="A28" s="91"/>
      <c r="D28" s="38"/>
      <c r="E28" s="80"/>
      <c r="F28" s="38"/>
      <c r="G28" s="111"/>
      <c r="H28" s="21"/>
      <c r="I28" s="89"/>
      <c r="J28" s="41"/>
      <c r="L28" s="94"/>
      <c r="O28" s="100"/>
      <c r="P28" s="99"/>
      <c r="Q28" s="101"/>
      <c r="R28" s="100"/>
      <c r="S28" s="95"/>
    </row>
    <row r="29" spans="1:18" ht="15">
      <c r="A29" s="15"/>
      <c r="B29" s="91" t="s">
        <v>89</v>
      </c>
      <c r="D29" s="15" t="s">
        <v>90</v>
      </c>
      <c r="E29" s="80">
        <f>E16*0.35</f>
        <v>0.48065185546874994</v>
      </c>
      <c r="F29" s="38" t="s">
        <v>83</v>
      </c>
      <c r="G29" s="111">
        <f t="shared" si="0"/>
        <v>0.0004693865776062011</v>
      </c>
      <c r="H29" s="21" t="s">
        <v>99</v>
      </c>
      <c r="I29" s="89">
        <f>E29/E5</f>
        <v>0.48065185546874994</v>
      </c>
      <c r="J29" s="41">
        <f t="shared" si="1"/>
        <v>1331</v>
      </c>
      <c r="L29" s="94">
        <f>ROUNDUP((E5/J29),0)</f>
        <v>1</v>
      </c>
      <c r="O29" s="85"/>
      <c r="P29" s="43"/>
      <c r="Q29" s="86"/>
      <c r="R29" s="85"/>
    </row>
    <row r="30" spans="1:19" ht="12.75">
      <c r="A30" s="15"/>
      <c r="B30" s="15"/>
      <c r="D30" s="15" t="s">
        <v>91</v>
      </c>
      <c r="E30" s="80">
        <f>E16*0.02</f>
        <v>0.0274658203125</v>
      </c>
      <c r="F30" s="38" t="s">
        <v>83</v>
      </c>
      <c r="G30" s="111">
        <f t="shared" si="0"/>
        <v>2.682209014892578E-05</v>
      </c>
      <c r="H30" s="21" t="s">
        <v>99</v>
      </c>
      <c r="I30" s="89">
        <f>E30/E5</f>
        <v>0.0274658203125</v>
      </c>
      <c r="J30" s="41">
        <f t="shared" si="1"/>
        <v>23301</v>
      </c>
      <c r="L30" s="94">
        <f>ROUNDUP((E5/J30),0)</f>
        <v>1</v>
      </c>
      <c r="O30" s="93"/>
      <c r="P30" s="47"/>
      <c r="Q30" s="102"/>
      <c r="R30" s="93"/>
      <c r="S30" s="47"/>
    </row>
    <row r="31" spans="1:19" ht="12.75">
      <c r="A31" s="15"/>
      <c r="B31" s="15"/>
      <c r="D31" s="15" t="s">
        <v>92</v>
      </c>
      <c r="E31" s="80">
        <f>E16*0.1</f>
        <v>0.1373291015625</v>
      </c>
      <c r="F31" s="38" t="s">
        <v>83</v>
      </c>
      <c r="G31" s="111">
        <f t="shared" si="0"/>
        <v>0.0001341104507446289</v>
      </c>
      <c r="H31" s="21" t="s">
        <v>99</v>
      </c>
      <c r="I31" s="89">
        <f>E31/E5</f>
        <v>0.1373291015625</v>
      </c>
      <c r="J31" s="41">
        <f t="shared" si="1"/>
        <v>4660</v>
      </c>
      <c r="L31" s="94">
        <f>ROUNDUP((E5/J31),0)</f>
        <v>1</v>
      </c>
      <c r="O31" s="93"/>
      <c r="P31" s="47"/>
      <c r="Q31" s="102"/>
      <c r="R31" s="93"/>
      <c r="S31" s="47"/>
    </row>
    <row r="32" spans="1:19" ht="12.75">
      <c r="A32" s="15"/>
      <c r="B32" s="15"/>
      <c r="D32" s="93"/>
      <c r="E32" s="82"/>
      <c r="F32" s="47"/>
      <c r="G32" s="47"/>
      <c r="H32" s="47"/>
      <c r="I32" s="47"/>
      <c r="J32" s="47"/>
      <c r="K32" s="108"/>
      <c r="L32" s="44"/>
      <c r="M32" s="50"/>
      <c r="N32" s="50"/>
      <c r="O32" s="93"/>
      <c r="P32" s="47"/>
      <c r="Q32" s="102"/>
      <c r="R32" s="93"/>
      <c r="S32" s="47"/>
    </row>
    <row r="33" spans="1:19" ht="12.75">
      <c r="A33" s="15"/>
      <c r="B33" s="15"/>
      <c r="D33" s="93"/>
      <c r="E33" s="82"/>
      <c r="F33" s="47"/>
      <c r="G33" s="47"/>
      <c r="H33" s="47"/>
      <c r="I33" s="47"/>
      <c r="J33" s="47"/>
      <c r="K33" s="108"/>
      <c r="L33" s="44"/>
      <c r="M33" s="50"/>
      <c r="N33" s="50"/>
      <c r="O33" s="93"/>
      <c r="P33" s="47"/>
      <c r="Q33" s="102"/>
      <c r="R33" s="93"/>
      <c r="S33" s="47"/>
    </row>
    <row r="34" spans="3:19" ht="12.75">
      <c r="C34" s="15"/>
      <c r="D34" s="43"/>
      <c r="E34" s="106"/>
      <c r="F34" s="38"/>
      <c r="G34" s="38"/>
      <c r="H34" s="38"/>
      <c r="I34" s="38"/>
      <c r="J34" s="38"/>
      <c r="L34" s="47"/>
      <c r="M34" s="47"/>
      <c r="N34" s="47"/>
      <c r="O34" s="47"/>
      <c r="P34" s="47"/>
      <c r="Q34" s="47"/>
      <c r="R34" s="47"/>
      <c r="S34" s="47"/>
    </row>
    <row r="35" spans="1:14" ht="15">
      <c r="A35" s="96"/>
      <c r="B35" s="97"/>
      <c r="C35" s="96"/>
      <c r="E35" s="98"/>
      <c r="F35" s="96"/>
      <c r="G35" s="96"/>
      <c r="H35" s="96"/>
      <c r="I35" s="96"/>
      <c r="J35" s="96"/>
      <c r="N35" s="95"/>
    </row>
    <row r="36" ht="12.75">
      <c r="E36" s="38"/>
    </row>
    <row r="37" spans="3:15" ht="12.75">
      <c r="C37" s="15"/>
      <c r="E37" s="106"/>
      <c r="F37" s="38"/>
      <c r="G37" s="38"/>
      <c r="H37" s="38"/>
      <c r="I37" s="38"/>
      <c r="J37" s="38"/>
      <c r="O37" s="43"/>
    </row>
    <row r="39" spans="2:16" ht="15">
      <c r="B39" s="18"/>
      <c r="E39" s="109"/>
      <c r="F39" s="20"/>
      <c r="G39" s="20"/>
      <c r="H39" s="20"/>
      <c r="I39" s="20"/>
      <c r="J39" s="20"/>
      <c r="K39" s="107"/>
      <c r="L39" s="44"/>
      <c r="M39" s="43"/>
      <c r="N39" s="43"/>
      <c r="O39" s="50"/>
      <c r="P39" s="43"/>
    </row>
    <row r="40" spans="2:16" ht="15">
      <c r="B40" s="46"/>
      <c r="C40" s="15"/>
      <c r="D40" s="15"/>
      <c r="E40" s="109"/>
      <c r="F40" s="87"/>
      <c r="G40" s="87"/>
      <c r="H40" s="87"/>
      <c r="I40" s="87"/>
      <c r="J40" s="87"/>
      <c r="K40" s="107"/>
      <c r="L40" s="44"/>
      <c r="M40" s="43"/>
      <c r="N40" s="43"/>
      <c r="O40" s="50"/>
      <c r="P40" s="43"/>
    </row>
    <row r="41" spans="2:16" ht="15">
      <c r="B41" s="46"/>
      <c r="D41" s="15"/>
      <c r="E41" s="109"/>
      <c r="F41" s="38"/>
      <c r="G41" s="38"/>
      <c r="H41" s="38"/>
      <c r="I41" s="38"/>
      <c r="J41" s="38"/>
      <c r="K41" s="107"/>
      <c r="L41" s="44"/>
      <c r="M41" s="43"/>
      <c r="N41" s="43"/>
      <c r="O41" s="50"/>
      <c r="P41" s="43"/>
    </row>
    <row r="51" spans="2:13" ht="15">
      <c r="B51" s="91" t="s">
        <v>93</v>
      </c>
      <c r="D51" s="15" t="s">
        <v>87</v>
      </c>
      <c r="E51" s="80">
        <f>E16*0.5</f>
        <v>0.6866455078125</v>
      </c>
      <c r="F51" s="38" t="s">
        <v>83</v>
      </c>
      <c r="G51" s="38"/>
      <c r="H51" s="38"/>
      <c r="I51" s="38"/>
      <c r="J51" s="38"/>
      <c r="K51" s="107">
        <f>E51/E5</f>
        <v>0.6866455078125</v>
      </c>
      <c r="L51" s="41">
        <f>ROUNDDOWN(640/K51,0)</f>
        <v>932</v>
      </c>
      <c r="M51" s="94">
        <f>ROUNDUP((E5/L51),0)</f>
        <v>1</v>
      </c>
    </row>
    <row r="52" spans="2:13" ht="15.75">
      <c r="B52" s="79"/>
      <c r="D52" s="15" t="s">
        <v>85</v>
      </c>
      <c r="E52" s="80">
        <f>E16*0.65</f>
        <v>0.89263916015625</v>
      </c>
      <c r="F52" s="38" t="s">
        <v>83</v>
      </c>
      <c r="G52" s="38"/>
      <c r="H52" s="38"/>
      <c r="I52" s="38"/>
      <c r="J52" s="38"/>
      <c r="K52" s="107">
        <f>E52/E5</f>
        <v>0.89263916015625</v>
      </c>
      <c r="L52" s="41">
        <f>ROUNDDOWN(640/K52,0)</f>
        <v>716</v>
      </c>
      <c r="M52" s="94">
        <f>ROUNDUP((E5/L52),0)</f>
        <v>1</v>
      </c>
    </row>
    <row r="53" spans="4:13" ht="12.75">
      <c r="D53" s="38"/>
      <c r="E53" s="80"/>
      <c r="F53" s="38"/>
      <c r="G53" s="38"/>
      <c r="H53" s="38"/>
      <c r="I53" s="38"/>
      <c r="J53" s="38"/>
      <c r="K53" s="107"/>
      <c r="L53" s="41"/>
      <c r="M53" s="94"/>
    </row>
    <row r="54" spans="2:13" ht="15">
      <c r="B54" s="91" t="s">
        <v>94</v>
      </c>
      <c r="D54" s="93" t="s">
        <v>87</v>
      </c>
      <c r="E54" s="80">
        <f>E16*0.17</f>
        <v>0.23345947265625003</v>
      </c>
      <c r="F54" s="38" t="s">
        <v>83</v>
      </c>
      <c r="G54" s="38"/>
      <c r="H54" s="38"/>
      <c r="I54" s="38"/>
      <c r="J54" s="38"/>
      <c r="K54" s="107">
        <f>E54/E5</f>
        <v>0.23345947265625003</v>
      </c>
      <c r="L54" s="41">
        <f aca="true" t="shared" si="2" ref="L54:L59">ROUNDDOWN(640/K54,0)</f>
        <v>2741</v>
      </c>
      <c r="M54" s="94">
        <f>ROUNDUP((E5/L54),0)</f>
        <v>1</v>
      </c>
    </row>
    <row r="55" spans="4:13" ht="12.75">
      <c r="D55" s="15" t="s">
        <v>85</v>
      </c>
      <c r="E55" s="80">
        <f>E16*0.22</f>
        <v>0.3021240234375</v>
      </c>
      <c r="F55" s="38" t="s">
        <v>83</v>
      </c>
      <c r="G55" s="38"/>
      <c r="H55" s="38"/>
      <c r="I55" s="38"/>
      <c r="J55" s="38"/>
      <c r="K55" s="107">
        <f>E55/E5</f>
        <v>0.3021240234375</v>
      </c>
      <c r="L55" s="41">
        <f t="shared" si="2"/>
        <v>2118</v>
      </c>
      <c r="M55" s="94">
        <f>ROUNDUP((E5/L55),0)</f>
        <v>1</v>
      </c>
    </row>
    <row r="56" spans="4:13" ht="12.75">
      <c r="D56" s="38"/>
      <c r="E56" s="80"/>
      <c r="F56" s="38"/>
      <c r="G56" s="38"/>
      <c r="H56" s="38"/>
      <c r="I56" s="38"/>
      <c r="J56" s="38"/>
      <c r="K56" s="107"/>
      <c r="L56" s="41"/>
      <c r="M56" s="94"/>
    </row>
    <row r="57" spans="2:13" ht="15">
      <c r="B57" s="91" t="s">
        <v>89</v>
      </c>
      <c r="D57" s="15" t="s">
        <v>90</v>
      </c>
      <c r="E57" s="80">
        <f>E16*0.35</f>
        <v>0.48065185546874994</v>
      </c>
      <c r="F57" s="38" t="s">
        <v>83</v>
      </c>
      <c r="G57" s="38"/>
      <c r="H57" s="38"/>
      <c r="I57" s="38"/>
      <c r="J57" s="38"/>
      <c r="K57" s="107">
        <f>E57/E5</f>
        <v>0.48065185546874994</v>
      </c>
      <c r="L57" s="41">
        <f t="shared" si="2"/>
        <v>1331</v>
      </c>
      <c r="M57" s="94">
        <f>ROUNDUP((E5/L57),0)</f>
        <v>1</v>
      </c>
    </row>
    <row r="58" spans="2:13" ht="12.75">
      <c r="B58" s="15"/>
      <c r="D58" s="15" t="s">
        <v>91</v>
      </c>
      <c r="E58" s="80">
        <f>E16*0.02</f>
        <v>0.0274658203125</v>
      </c>
      <c r="F58" s="38" t="s">
        <v>83</v>
      </c>
      <c r="G58" s="38"/>
      <c r="H58" s="38"/>
      <c r="I58" s="38"/>
      <c r="J58" s="38"/>
      <c r="K58" s="107">
        <f>E58/E5</f>
        <v>0.0274658203125</v>
      </c>
      <c r="L58" s="41">
        <f t="shared" si="2"/>
        <v>23301</v>
      </c>
      <c r="M58" s="94">
        <f>ROUNDUP((E5/L58),0)</f>
        <v>1</v>
      </c>
    </row>
    <row r="59" spans="2:13" ht="12.75">
      <c r="B59" s="15"/>
      <c r="D59" s="15" t="s">
        <v>92</v>
      </c>
      <c r="E59" s="80">
        <f>E16*0.1</f>
        <v>0.1373291015625</v>
      </c>
      <c r="F59" s="38" t="s">
        <v>83</v>
      </c>
      <c r="G59" s="38"/>
      <c r="H59" s="38"/>
      <c r="I59" s="38"/>
      <c r="J59" s="38"/>
      <c r="K59" s="107">
        <f>E59/E5</f>
        <v>0.1373291015625</v>
      </c>
      <c r="L59" s="41">
        <f t="shared" si="2"/>
        <v>4660</v>
      </c>
      <c r="M59" s="94">
        <f>ROUNDUP((E5/L59),0)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N59"/>
  <sheetViews>
    <sheetView zoomScalePageLayoutView="0" workbookViewId="0" topLeftCell="A64">
      <selection activeCell="C18" sqref="C18"/>
    </sheetView>
  </sheetViews>
  <sheetFormatPr defaultColWidth="9.140625" defaultRowHeight="12.75"/>
  <cols>
    <col min="1" max="1" width="12.7109375" style="0" customWidth="1"/>
  </cols>
  <sheetData>
    <row r="2" ht="18">
      <c r="B2" s="5" t="s">
        <v>101</v>
      </c>
    </row>
    <row r="5" spans="3:7" ht="12.75">
      <c r="C5" s="103" t="s">
        <v>102</v>
      </c>
      <c r="E5" t="s">
        <v>103</v>
      </c>
      <c r="G5" t="s">
        <v>109</v>
      </c>
    </row>
    <row r="6" spans="3:7" ht="12.75">
      <c r="C6" s="103" t="s">
        <v>104</v>
      </c>
      <c r="E6" t="s">
        <v>105</v>
      </c>
      <c r="G6" t="s">
        <v>109</v>
      </c>
    </row>
    <row r="7" spans="3:7" ht="12.75">
      <c r="C7" s="103" t="s">
        <v>106</v>
      </c>
      <c r="E7" t="s">
        <v>107</v>
      </c>
      <c r="G7" t="s">
        <v>110</v>
      </c>
    </row>
    <row r="8" spans="3:7" ht="12.75">
      <c r="C8" s="103" t="s">
        <v>114</v>
      </c>
      <c r="E8" t="s">
        <v>108</v>
      </c>
      <c r="G8" t="s">
        <v>110</v>
      </c>
    </row>
    <row r="9" ht="12.75">
      <c r="C9" s="103"/>
    </row>
    <row r="10" spans="3:7" ht="12.75">
      <c r="C10" s="103" t="s">
        <v>10</v>
      </c>
      <c r="E10" t="s">
        <v>8</v>
      </c>
      <c r="G10" t="s">
        <v>111</v>
      </c>
    </row>
    <row r="11" ht="12.75">
      <c r="C11" s="103"/>
    </row>
    <row r="12" spans="3:5" ht="12.75">
      <c r="C12" s="103" t="s">
        <v>17</v>
      </c>
      <c r="E12" t="s">
        <v>112</v>
      </c>
    </row>
    <row r="13" ht="12.75">
      <c r="C13" s="103"/>
    </row>
    <row r="14" spans="3:5" ht="12.75">
      <c r="C14" s="103" t="s">
        <v>18</v>
      </c>
      <c r="E14" t="s">
        <v>113</v>
      </c>
    </row>
    <row r="16" spans="3:7" ht="12.75">
      <c r="C16" s="103" t="s">
        <v>121</v>
      </c>
      <c r="E16" t="s">
        <v>124</v>
      </c>
      <c r="G16" t="s">
        <v>25</v>
      </c>
    </row>
    <row r="17" spans="3:7" ht="12.75">
      <c r="C17" s="103" t="s">
        <v>122</v>
      </c>
      <c r="E17" t="s">
        <v>125</v>
      </c>
      <c r="G17" t="s">
        <v>83</v>
      </c>
    </row>
    <row r="18" ht="12.75">
      <c r="C18" s="103"/>
    </row>
    <row r="20" ht="12.75">
      <c r="B20" s="38" t="s">
        <v>115</v>
      </c>
    </row>
    <row r="22" spans="3:5" ht="12.75">
      <c r="C22" s="103" t="s">
        <v>116</v>
      </c>
      <c r="D22" s="32" t="s">
        <v>117</v>
      </c>
      <c r="E22" s="28" t="s">
        <v>118</v>
      </c>
    </row>
    <row r="23" spans="3:5" ht="12.75">
      <c r="C23" s="103" t="s">
        <v>119</v>
      </c>
      <c r="D23" s="32" t="s">
        <v>117</v>
      </c>
      <c r="E23" t="s">
        <v>120</v>
      </c>
    </row>
    <row r="24" ht="12.75">
      <c r="N24" s="15"/>
    </row>
    <row r="25" spans="3:14" ht="12.75">
      <c r="C25" s="103" t="s">
        <v>121</v>
      </c>
      <c r="D25" s="32" t="s">
        <v>117</v>
      </c>
      <c r="E25" t="s">
        <v>135</v>
      </c>
      <c r="N25" s="15"/>
    </row>
    <row r="26" spans="3:5" ht="12.75">
      <c r="C26" s="103" t="s">
        <v>122</v>
      </c>
      <c r="D26" s="32" t="s">
        <v>117</v>
      </c>
      <c r="E26" t="s">
        <v>123</v>
      </c>
    </row>
    <row r="29" ht="12.75">
      <c r="B29" s="38" t="s">
        <v>126</v>
      </c>
    </row>
    <row r="31" spans="3:9" ht="12.75">
      <c r="C31" s="103" t="s">
        <v>128</v>
      </c>
      <c r="D31" s="32" t="s">
        <v>117</v>
      </c>
      <c r="E31" s="104" t="s">
        <v>36</v>
      </c>
      <c r="H31" s="32" t="s">
        <v>127</v>
      </c>
      <c r="I31" t="s">
        <v>38</v>
      </c>
    </row>
    <row r="34" ht="12.75">
      <c r="B34" s="38" t="s">
        <v>129</v>
      </c>
    </row>
    <row r="36" spans="3:5" ht="12.75">
      <c r="C36" s="103" t="s">
        <v>130</v>
      </c>
      <c r="D36" s="32" t="s">
        <v>117</v>
      </c>
      <c r="E36" t="s">
        <v>131</v>
      </c>
    </row>
    <row r="37" spans="3:5" ht="12.75">
      <c r="C37" s="103" t="s">
        <v>132</v>
      </c>
      <c r="D37" s="32" t="s">
        <v>117</v>
      </c>
      <c r="E37" t="s">
        <v>133</v>
      </c>
    </row>
    <row r="40" ht="12.75">
      <c r="B40" s="56" t="s">
        <v>134</v>
      </c>
    </row>
    <row r="42" spans="3:9" ht="12.75">
      <c r="C42" s="103" t="s">
        <v>124</v>
      </c>
      <c r="D42" s="32" t="s">
        <v>117</v>
      </c>
      <c r="E42" t="s">
        <v>136</v>
      </c>
      <c r="I42" t="s">
        <v>138</v>
      </c>
    </row>
    <row r="43" spans="3:9" ht="12.75">
      <c r="C43" s="103" t="s">
        <v>125</v>
      </c>
      <c r="D43" s="32" t="s">
        <v>117</v>
      </c>
      <c r="E43" t="s">
        <v>123</v>
      </c>
      <c r="I43" t="s">
        <v>137</v>
      </c>
    </row>
    <row r="45" spans="3:5" ht="12.75">
      <c r="C45" s="103" t="s">
        <v>93</v>
      </c>
      <c r="D45" s="32" t="s">
        <v>117</v>
      </c>
      <c r="E45" t="s">
        <v>139</v>
      </c>
    </row>
    <row r="46" spans="3:5" ht="12.75">
      <c r="C46" s="103" t="s">
        <v>94</v>
      </c>
      <c r="D46" s="32" t="s">
        <v>117</v>
      </c>
      <c r="E46" t="s">
        <v>140</v>
      </c>
    </row>
    <row r="48" spans="3:5" ht="12.75">
      <c r="C48" s="103" t="s">
        <v>141</v>
      </c>
      <c r="D48" s="32" t="s">
        <v>117</v>
      </c>
      <c r="E48" t="s">
        <v>144</v>
      </c>
    </row>
    <row r="49" spans="3:5" ht="12.75">
      <c r="C49" s="103" t="s">
        <v>142</v>
      </c>
      <c r="D49" s="32" t="s">
        <v>117</v>
      </c>
      <c r="E49" t="s">
        <v>145</v>
      </c>
    </row>
    <row r="50" spans="3:5" ht="12.75">
      <c r="C50" s="103" t="s">
        <v>143</v>
      </c>
      <c r="D50" s="32" t="s">
        <v>117</v>
      </c>
      <c r="E50" t="s">
        <v>146</v>
      </c>
    </row>
    <row r="53" spans="3:5" ht="12.75">
      <c r="C53" s="103" t="s">
        <v>153</v>
      </c>
      <c r="D53" s="32" t="s">
        <v>117</v>
      </c>
      <c r="E53" t="s">
        <v>147</v>
      </c>
    </row>
    <row r="54" spans="3:5" ht="12.75">
      <c r="C54" s="103" t="s">
        <v>154</v>
      </c>
      <c r="D54" s="32" t="s">
        <v>117</v>
      </c>
      <c r="E54" t="s">
        <v>155</v>
      </c>
    </row>
    <row r="55" ht="12.75">
      <c r="D55" s="32"/>
    </row>
    <row r="56" spans="3:9" ht="12.75">
      <c r="C56" s="103" t="s">
        <v>148</v>
      </c>
      <c r="D56" s="32" t="s">
        <v>117</v>
      </c>
      <c r="E56" t="s">
        <v>149</v>
      </c>
      <c r="I56" t="s">
        <v>150</v>
      </c>
    </row>
    <row r="57" ht="12.75">
      <c r="D57" s="32"/>
    </row>
    <row r="58" spans="3:5" ht="12.75">
      <c r="C58" s="103" t="s">
        <v>151</v>
      </c>
      <c r="D58" s="32" t="s">
        <v>117</v>
      </c>
      <c r="E58" t="s">
        <v>152</v>
      </c>
    </row>
    <row r="59" ht="12.75">
      <c r="D59" s="32"/>
    </row>
  </sheetData>
  <sheetProtection/>
  <printOptions/>
  <pageMargins left="0.4" right="0.29" top="0.4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 Bremner</dc:creator>
  <cp:keywords/>
  <dc:description/>
  <cp:lastModifiedBy>University of Exeter</cp:lastModifiedBy>
  <cp:lastPrinted>2001-07-31T10:02:58Z</cp:lastPrinted>
  <dcterms:created xsi:type="dcterms:W3CDTF">2001-06-06T15:59:07Z</dcterms:created>
  <dcterms:modified xsi:type="dcterms:W3CDTF">2008-10-23T16:24:46Z</dcterms:modified>
  <cp:category/>
  <cp:version/>
  <cp:contentType/>
  <cp:contentStatus/>
</cp:coreProperties>
</file>